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https://butteschoolsjpa.sharepoint.com/sites/BSSPJPA/Shared Documents/JPA/Fiscal 23-24/Benefits/Open Enrollment/"/>
    </mc:Choice>
  </mc:AlternateContent>
  <xr:revisionPtr revIDLastSave="63" documentId="8_{B5E26374-6E64-41B9-9310-849CA9EEDDFE}" xr6:coauthVersionLast="47" xr6:coauthVersionMax="47" xr10:uidLastSave="{151E2E85-A055-4A57-A7B1-85AA3AD8ECAB}"/>
  <bookViews>
    <workbookView xWindow="20370" yWindow="-120" windowWidth="29040" windowHeight="15840" activeTab="1" xr2:uid="{E9D07D45-34AC-4B68-AB1F-4FB7F68C53B2}"/>
  </bookViews>
  <sheets>
    <sheet name="User Input" sheetId="17" r:id="rId1"/>
    <sheet name="Results" sheetId="18" r:id="rId2"/>
    <sheet name="Estimated Costs" sheetId="3" r:id="rId3"/>
    <sheet name="UnitMenu" sheetId="4" r:id="rId4"/>
    <sheet name="MasterMenu" sheetId="5" r:id="rId5"/>
    <sheet name="Sheet2" sheetId="9" r:id="rId6"/>
    <sheet name="Other " sheetId="6" r:id="rId7"/>
  </sheets>
  <externalReferences>
    <externalReference r:id="rId8"/>
  </externalReferences>
  <definedNames>
    <definedName name="_CAC1">'Estimated Costs'!$D$6</definedName>
    <definedName name="_CAC2">'Estimated Costs'!$E$6</definedName>
    <definedName name="_CAC4">'Estimated Costs'!$G$6</definedName>
    <definedName name="_CBC1" localSheetId="1">"EMPLOYEE"</definedName>
    <definedName name="_CBC1" localSheetId="0">"EMPLOYEE"</definedName>
    <definedName name="_CBC1">'Estimated Costs'!$D$11</definedName>
    <definedName name="_CBC2">'Estimated Costs'!$E$11</definedName>
    <definedName name="_CBC3">'Estimated Costs'!$F$11</definedName>
    <definedName name="_CBC4">'Estimated Costs'!$G$11</definedName>
    <definedName name="_ERC1" localSheetId="1">#REF!</definedName>
    <definedName name="_ERC1" localSheetId="0">#REF!</definedName>
    <definedName name="_ERC1">'Estimated Costs'!$D$9</definedName>
    <definedName name="_ERC2" localSheetId="1">#REF!</definedName>
    <definedName name="_ERC2" localSheetId="0">#REF!</definedName>
    <definedName name="_ERC2">'Estimated Costs'!$E$9</definedName>
    <definedName name="_ERC3" localSheetId="1">#REF!</definedName>
    <definedName name="_ERC3" localSheetId="0">#REF!</definedName>
    <definedName name="_ERC3">'Estimated Costs'!$F$9</definedName>
    <definedName name="_ERC4" localSheetId="1">#REF!</definedName>
    <definedName name="_ERC4" localSheetId="0">#REF!</definedName>
    <definedName name="_ERC4">'Estimated Costs'!$G$9</definedName>
    <definedName name="_xlnm._FilterDatabase" localSheetId="3" hidden="1">UnitMenu!$A$1:$I$26</definedName>
    <definedName name="_xlnm._FilterDatabase" localSheetId="0" hidden="1">'User Input'!$N$2:$N$18</definedName>
    <definedName name="_OVC1">'Estimated Costs'!#REF!</definedName>
    <definedName name="_OVC2">'Estimated Costs'!#REF!</definedName>
    <definedName name="_OVC3">'Estimated Costs'!#REF!</definedName>
    <definedName name="_OVC4">'Estimated Costs'!#REF!</definedName>
    <definedName name="_OVCH1" localSheetId="0">#REF!</definedName>
    <definedName name="_OVCH1">'Estimated Costs'!$D$6</definedName>
    <definedName name="_OVCH2" localSheetId="0">#REF!</definedName>
    <definedName name="_OVCH2">'Estimated Costs'!$E$6</definedName>
    <definedName name="_OVCH3" localSheetId="1">#REF!</definedName>
    <definedName name="_OVCH3" localSheetId="0">#REF!</definedName>
    <definedName name="_OVCH3">'Estimated Costs'!$F$6</definedName>
    <definedName name="_OVCH4" localSheetId="0">#REF!</definedName>
    <definedName name="_OVCH4">'Estimated Costs'!$G$6</definedName>
    <definedName name="_OVEE" localSheetId="1">#REF!</definedName>
    <definedName name="_OVEE" localSheetId="0">#REF!</definedName>
    <definedName name="_OVEE">'Estimated Costs'!$B$6</definedName>
    <definedName name="_OVSP" localSheetId="1">#REF!</definedName>
    <definedName name="_OVSP" localSheetId="0">#REF!</definedName>
    <definedName name="_OVSP">'Estimated Costs'!$C$6</definedName>
    <definedName name="_TMC1" localSheetId="0">#REF!</definedName>
    <definedName name="_TMC1">'Estimated Costs'!$D$4</definedName>
    <definedName name="_TMC2" localSheetId="1">#REF!</definedName>
    <definedName name="_TMC2" localSheetId="0">#REF!</definedName>
    <definedName name="_TMC2">'Estimated Costs'!$E$4</definedName>
    <definedName name="_TMC3" localSheetId="1">#REF!</definedName>
    <definedName name="_TMC3" localSheetId="0">#REF!</definedName>
    <definedName name="_TMC3">'Estimated Costs'!$F$4</definedName>
    <definedName name="_TMC4" localSheetId="0">#REF!</definedName>
    <definedName name="_TMC4">'Estimated Costs'!$G$4</definedName>
    <definedName name="Cashinlieu" localSheetId="1">#REF!</definedName>
    <definedName name="Cashinlieu" localSheetId="0">#REF!</definedName>
    <definedName name="Cashinlieu">#REF!</definedName>
    <definedName name="cashinlieu1">'User Input'!$G$11</definedName>
    <definedName name="cashinlieu2">'User Input'!$J$11</definedName>
    <definedName name="CASP">'Estimated Costs'!$C$6</definedName>
    <definedName name="CBEE">'Estimated Costs'!$B$11</definedName>
    <definedName name="CBSP">'Estimated Costs'!$C$11</definedName>
    <definedName name="ClaimPayments" localSheetId="0">#REF!</definedName>
    <definedName name="ClaimPayments">Sheet2!$A$2:$C$11</definedName>
    <definedName name="ClaimsC1" localSheetId="1">#REF!</definedName>
    <definedName name="ClaimsC1" localSheetId="0">#REF!</definedName>
    <definedName name="ClaimsC1">'Estimated Costs'!$D$2:$D$11</definedName>
    <definedName name="ClaimsC2" localSheetId="1">#REF!</definedName>
    <definedName name="ClaimsC2" localSheetId="0">#REF!</definedName>
    <definedName name="ClaimsC2">'Estimated Costs'!$E$2:$E$11</definedName>
    <definedName name="ClaimsC3" localSheetId="1">#REF!</definedName>
    <definedName name="ClaimsC3" localSheetId="0">#REF!</definedName>
    <definedName name="ClaimsC3">'Estimated Costs'!$F$2:$F$11</definedName>
    <definedName name="ClaimsC4" localSheetId="1">#REF!</definedName>
    <definedName name="ClaimsC4" localSheetId="0">#REF!</definedName>
    <definedName name="ClaimsC4">'Estimated Costs'!$G$2:$G$11</definedName>
    <definedName name="ClaimsEE" localSheetId="1">#REF!</definedName>
    <definedName name="ClaimsEE" localSheetId="0">#REF!</definedName>
    <definedName name="ClaimsEE">'Estimated Costs'!$B$2:$B$11</definedName>
    <definedName name="ClaimsSP" localSheetId="0">#REF!</definedName>
    <definedName name="ClaimsSP">'Estimated Costs'!$C$2:$C$11</definedName>
    <definedName name="CompositeComposite">'User Input'!$L$20</definedName>
    <definedName name="Covered" localSheetId="1">#REF!</definedName>
    <definedName name="Covered" localSheetId="0">'User Input'!$N$2:$N$18</definedName>
    <definedName name="Covered">#REF!</definedName>
    <definedName name="CoveredDependents" localSheetId="1">#REF!</definedName>
    <definedName name="CoveredDependents" localSheetId="0">#REF!</definedName>
    <definedName name="CoveredDependents">#REF!</definedName>
    <definedName name="CoveredDependents1">'User Input'!$Q$18</definedName>
    <definedName name="covereddependents2">'User Input'!$Q$19</definedName>
    <definedName name="Discountrows">'Other '!$A$23:$B$26</definedName>
    <definedName name="Discounts">MasterMenu!$E$44:$N$47</definedName>
    <definedName name="EERE" localSheetId="1">#REF!</definedName>
    <definedName name="EERE" localSheetId="0">#REF!</definedName>
    <definedName name="EERE">#REF!</definedName>
    <definedName name="EERE1">'User Input'!$F$7</definedName>
    <definedName name="EERE2">'User Input'!$I$7</definedName>
    <definedName name="Employee" localSheetId="0">#REF!</definedName>
    <definedName name="Employee">'Other '!$A$11:$D$14</definedName>
    <definedName name="ERContribution" localSheetId="1">#REF!</definedName>
    <definedName name="ERContribution" localSheetId="0">#REF!</definedName>
    <definedName name="ERContribution">#REF!</definedName>
    <definedName name="ERContribution1">'User Input'!$G$9</definedName>
    <definedName name="ERContribution2">'User Input'!$J$9</definedName>
    <definedName name="EREE" localSheetId="1">#REF!</definedName>
    <definedName name="EREE" localSheetId="0">#REF!</definedName>
    <definedName name="EREE">'Estimated Costs'!$B$9</definedName>
    <definedName name="ERSP" localSheetId="1">#REF!</definedName>
    <definedName name="ERSP" localSheetId="0">#REF!</definedName>
    <definedName name="ERSP">'Estimated Costs'!$C$9</definedName>
    <definedName name="Hosp">#REF!</definedName>
    <definedName name="HospC1">'Estimated Costs'!$D$8</definedName>
    <definedName name="HospC2">'Estimated Costs'!$E$8</definedName>
    <definedName name="HospC3">'Estimated Costs'!$F$8</definedName>
    <definedName name="HospC4">'Estimated Costs'!$G$8</definedName>
    <definedName name="HospEE">'Estimated Costs'!$B$8</definedName>
    <definedName name="HospSP">'Estimated Costs'!$C$8</definedName>
    <definedName name="HSAA">'Estimated Costs'!#REF!</definedName>
    <definedName name="HWCC1" localSheetId="1">#REF!</definedName>
    <definedName name="HWCC1" localSheetId="0">#REF!</definedName>
    <definedName name="HWCC1">'Estimated Costs'!$D$3</definedName>
    <definedName name="HWCC2" localSheetId="1">#REF!</definedName>
    <definedName name="HWCC2" localSheetId="0">#REF!</definedName>
    <definedName name="HWCC2">'Estimated Costs'!$E$3</definedName>
    <definedName name="HWCC3" localSheetId="0">#REF!</definedName>
    <definedName name="HWCC3">'Estimated Costs'!$F$3</definedName>
    <definedName name="HWCC4" localSheetId="1">#REF!</definedName>
    <definedName name="HWCC4" localSheetId="0">#REF!</definedName>
    <definedName name="HWCC4">'Estimated Costs'!$G$3</definedName>
    <definedName name="HWCEE" localSheetId="0">#REF!</definedName>
    <definedName name="HWCEE">'Estimated Costs'!$B$3</definedName>
    <definedName name="HWCSP" localSheetId="0">#REF!</definedName>
    <definedName name="HWCSP">'Estimated Costs'!$C$3</definedName>
    <definedName name="MaxOOP">MasterMenu!$E$2:$N$41</definedName>
    <definedName name="mecpayment">'Estimated Costs'!#REF!</definedName>
    <definedName name="NonpreventiveHWC">#REF!</definedName>
    <definedName name="OV">#REF!</definedName>
    <definedName name="OVEE">'Estimated Costs'!#REF!</definedName>
    <definedName name="OVSP">'Estimated Costs'!#REF!</definedName>
    <definedName name="P10Payments" localSheetId="0">#REF!</definedName>
    <definedName name="P10payments">'Estimated Costs'!$I$202</definedName>
    <definedName name="P11Payments">#REF!</definedName>
    <definedName name="p12payments">#REF!</definedName>
    <definedName name="P1payments" localSheetId="0">#REF!</definedName>
    <definedName name="P1payments">'Estimated Costs'!$I$40</definedName>
    <definedName name="p2payments" localSheetId="0">#REF!</definedName>
    <definedName name="p2payments">'Estimated Costs'!$I$56</definedName>
    <definedName name="P3payments">'Estimated Costs'!$I$72</definedName>
    <definedName name="p4payments" localSheetId="0">#REF!</definedName>
    <definedName name="p4payments">'Estimated Costs'!$I$88</definedName>
    <definedName name="p5familypayments">'Estimated Costs'!$I$122</definedName>
    <definedName name="P5payments">#REF!</definedName>
    <definedName name="p5spayments">'Estimated Costs'!$I$105</definedName>
    <definedName name="p6payments" localSheetId="0">#REF!</definedName>
    <definedName name="p6payments">'Estimated Costs'!$I$138</definedName>
    <definedName name="p7familypayments">#REF!</definedName>
    <definedName name="P7Payments">'Estimated Costs'!$I$154</definedName>
    <definedName name="p7spayments">#REF!</definedName>
    <definedName name="p8payments" localSheetId="0">#REF!</definedName>
    <definedName name="P8payments">'Estimated Costs'!$I$169</definedName>
    <definedName name="P9Payments" localSheetId="0">#REF!</definedName>
    <definedName name="P9Payments">'Estimated Costs'!$I$185</definedName>
    <definedName name="PlanColumn" localSheetId="0">#REF!</definedName>
    <definedName name="PlanColumn">Sheet2!$A$2:$B$11</definedName>
    <definedName name="Plans">#REF!</definedName>
    <definedName name="PrevC1">'Estimated Costs'!$D$2</definedName>
    <definedName name="PrevC2">'Estimated Costs'!$E$2</definedName>
    <definedName name="PrevC3">'Estimated Costs'!$F$2</definedName>
    <definedName name="PrevC4">'Estimated Costs'!$G$2</definedName>
    <definedName name="PrevEE">'Estimated Costs'!$B$2</definedName>
    <definedName name="Preventiveexam">#REF!</definedName>
    <definedName name="PrevSP">'Estimated Costs'!$C$2</definedName>
    <definedName name="_xlnm.Print_Area" localSheetId="1">Results!$A$1:$L$45</definedName>
    <definedName name="_xlnm.Print_Area" localSheetId="0">'User Input'!$A$1:$J$41</definedName>
    <definedName name="RateRow" localSheetId="0">#REF!</definedName>
    <definedName name="RateRow">Sheet2!$C$14:$D$32</definedName>
    <definedName name="Rates">MasterMenu!$E$3:$N$17</definedName>
    <definedName name="RateStructure" localSheetId="1">#REF!</definedName>
    <definedName name="RateStructure" localSheetId="0">#REF!</definedName>
    <definedName name="RateStructure">#REF!</definedName>
    <definedName name="RateStructure1">'User Input'!$K$5</definedName>
    <definedName name="ratestructure2">'User Input'!$M$5</definedName>
    <definedName name="Results">#REF!</definedName>
    <definedName name="Retiree" localSheetId="0">#REF!</definedName>
    <definedName name="Retiree">'Other '!$A$17:$D$20</definedName>
    <definedName name="RXCH1">'Estimated Costs'!$D$16:$D$22</definedName>
    <definedName name="RXCH2">'Estimated Costs'!$E$16:$E$22</definedName>
    <definedName name="RXCH3">'Estimated Costs'!$F$16:$F$22</definedName>
    <definedName name="RXCH4">'Estimated Costs'!$G$16:$G$22</definedName>
    <definedName name="RXEE">'Estimated Costs'!$B$16:$B$22</definedName>
    <definedName name="RXSP">'Estimated Costs'!$C$16:$C$22</definedName>
    <definedName name="RXUnitCost">'Estimated Costs'!$I$16:$I$22</definedName>
    <definedName name="scenario" localSheetId="1">#REF!</definedName>
    <definedName name="scenario" localSheetId="0">'User Input'!$D$2:$I$2</definedName>
    <definedName name="scenario">#REF!</definedName>
    <definedName name="Sp1Plan1">'User Input'!$D$14</definedName>
    <definedName name="Sp1Plan2">'User Input'!$E$14</definedName>
    <definedName name="Sp1Plan3">'User Input'!$F$14</definedName>
    <definedName name="Sp1Plan4">'User Input'!$G$14</definedName>
    <definedName name="Sp1Plan5">'User Input'!$H$14</definedName>
    <definedName name="Sp1Plan6">'User Input'!$I$14</definedName>
    <definedName name="Sp1Plan7">'User Input'!$J$14</definedName>
    <definedName name="Sp2Plan1">'User Input'!$D$15</definedName>
    <definedName name="Sp2Plan2">'User Input'!$E$15</definedName>
    <definedName name="Sp2Plan3">'User Input'!$F$15</definedName>
    <definedName name="Sp2Plan4">'User Input'!$G$15</definedName>
    <definedName name="Sp2Plan5">'User Input'!$H$15</definedName>
    <definedName name="Sp2Plan6">'User Input'!$I$15</definedName>
    <definedName name="Sp2Plan7">'User Input'!$J$15</definedName>
    <definedName name="Status" localSheetId="0">#REF!</definedName>
    <definedName name="Status">'Other '!$A$5:$A$6</definedName>
    <definedName name="Tier" localSheetId="1">#REF!</definedName>
    <definedName name="Tier" localSheetId="0">#REF!</definedName>
    <definedName name="Tier">#REF!</definedName>
    <definedName name="Tier1">'User Input'!$D$18</definedName>
    <definedName name="Tier2">'User Input'!$D$19</definedName>
    <definedName name="TMEE" localSheetId="0">#REF!</definedName>
    <definedName name="TMEE">'Estimated Costs'!$B$4</definedName>
    <definedName name="TMSP" localSheetId="0">#REF!</definedName>
    <definedName name="TMSP">'Estimated Costs'!$C$4</definedName>
    <definedName name="TotalClaims">'Estimated Costs'!#REF!</definedName>
    <definedName name="Totalmedcosts">'Estimated Costs'!$H$12</definedName>
    <definedName name="TotalMedEE" localSheetId="0">#REF!</definedName>
    <definedName name="TotalMedEE">'Estimated Costs'!$B$12</definedName>
    <definedName name="TotalRXCost">'Estimated Costs'!$J$23</definedName>
    <definedName name="TotalRXEE" localSheetId="0">#REF!</definedName>
    <definedName name="TotalRXEE">'Estimated Costs'!$AM$23</definedName>
    <definedName name="Unit" localSheetId="1">#REF!</definedName>
    <definedName name="Unit" localSheetId="0">#REF!</definedName>
    <definedName name="Unit">#REF!</definedName>
    <definedName name="Unit1">'User Input'!$F$6</definedName>
    <definedName name="Unit2">'User Input'!$I$5</definedName>
    <definedName name="UnitCost" localSheetId="0">#REF!</definedName>
    <definedName name="UnitCost">'Estimated Costs'!$I$2:$I$11</definedName>
    <definedName name="Unitmenu">UnitMenu!$A$2:$I$26</definedName>
    <definedName name="UnitRate" localSheetId="1">#REF!</definedName>
    <definedName name="UnitRate" localSheetId="0">#REF!</definedName>
    <definedName name="UnitRate">UnitMenu!$A$2:$B$26</definedName>
    <definedName name="units" localSheetId="1">#REF!</definedName>
    <definedName name="units" localSheetId="0">#REF!</definedName>
    <definedName name="units">UnitMenu!$A$2:$A$26</definedName>
    <definedName name="YesNo" localSheetId="0">#REF!</definedName>
    <definedName name="YesNo">'Other '!$A$1:$A$2</definedName>
  </definedNames>
  <calcPr calcId="191029"/>
  <webPublishObjects count="2">
    <webPublishObject id="15388" divId="Estimated Claim Costs_15388" destinationFile="\\goddard\public\Joint Powers Authority\Financials 10-11\Benefits\Anthem\Estimated Claim Costs.htm"/>
    <webPublishObject id="21968" divId="Estimated Claim Costs_21968" destinationFile="\\goddard\public\Joint Powers Authority\Financials 10-11\Benefits\Anthem\Estimated Claim Costs.mht"/>
  </webPublishObject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7" i="3" l="1"/>
  <c r="A18" i="3"/>
  <c r="A19" i="3"/>
  <c r="A20" i="3"/>
  <c r="A21" i="3"/>
  <c r="A22" i="3"/>
  <c r="A16" i="3"/>
  <c r="A3" i="3"/>
  <c r="A4" i="3"/>
  <c r="A5" i="3"/>
  <c r="A6" i="3"/>
  <c r="A7" i="3"/>
  <c r="A8" i="3"/>
  <c r="A9" i="3"/>
  <c r="A10" i="3"/>
  <c r="A11" i="3"/>
  <c r="A2" i="3"/>
  <c r="I17" i="3"/>
  <c r="I18" i="3"/>
  <c r="I19" i="3"/>
  <c r="I20" i="3"/>
  <c r="I21" i="3"/>
  <c r="I22" i="3"/>
  <c r="I16" i="3"/>
  <c r="I3" i="3"/>
  <c r="I4" i="3"/>
  <c r="I5" i="3"/>
  <c r="I6" i="3"/>
  <c r="I7" i="3"/>
  <c r="I8" i="3"/>
  <c r="I9" i="3"/>
  <c r="I10" i="3"/>
  <c r="I11" i="3"/>
  <c r="I2" i="3"/>
  <c r="G22" i="3"/>
  <c r="F22" i="3"/>
  <c r="E22" i="3"/>
  <c r="D22" i="3"/>
  <c r="C22" i="3"/>
  <c r="B22" i="3"/>
  <c r="G21" i="3"/>
  <c r="F21" i="3"/>
  <c r="E21" i="3"/>
  <c r="D21" i="3"/>
  <c r="C21" i="3"/>
  <c r="B21" i="3"/>
  <c r="G20" i="3"/>
  <c r="F20" i="3"/>
  <c r="E20" i="3"/>
  <c r="D20" i="3"/>
  <c r="C20" i="3"/>
  <c r="B20" i="3"/>
  <c r="G19" i="3"/>
  <c r="F19" i="3"/>
  <c r="E19" i="3"/>
  <c r="D19" i="3"/>
  <c r="C19" i="3"/>
  <c r="B19" i="3"/>
  <c r="G18" i="3"/>
  <c r="F18" i="3"/>
  <c r="E18" i="3"/>
  <c r="D18" i="3"/>
  <c r="C18" i="3"/>
  <c r="B18" i="3"/>
  <c r="G17" i="3"/>
  <c r="F17" i="3"/>
  <c r="E17" i="3"/>
  <c r="D17" i="3"/>
  <c r="C17" i="3"/>
  <c r="B17" i="3"/>
  <c r="G16" i="3"/>
  <c r="F16" i="3"/>
  <c r="E16" i="3"/>
  <c r="D16" i="3"/>
  <c r="C16" i="3"/>
  <c r="B16" i="3"/>
  <c r="G11" i="3"/>
  <c r="F11" i="3"/>
  <c r="E11" i="3"/>
  <c r="D11" i="3"/>
  <c r="C11" i="3"/>
  <c r="B11" i="3"/>
  <c r="G10" i="3"/>
  <c r="F10" i="3"/>
  <c r="E10" i="3"/>
  <c r="D10" i="3"/>
  <c r="C10" i="3"/>
  <c r="B10" i="3"/>
  <c r="G9" i="3"/>
  <c r="F9" i="3"/>
  <c r="E9" i="3"/>
  <c r="D9" i="3"/>
  <c r="C9" i="3"/>
  <c r="B9" i="3"/>
  <c r="G8" i="3"/>
  <c r="F8" i="3"/>
  <c r="E8" i="3"/>
  <c r="D8" i="3"/>
  <c r="C8" i="3"/>
  <c r="B8" i="3"/>
  <c r="G7" i="3"/>
  <c r="F7" i="3"/>
  <c r="E7" i="3"/>
  <c r="D7" i="3"/>
  <c r="C7" i="3"/>
  <c r="B7" i="3"/>
  <c r="G6" i="3"/>
  <c r="F6" i="3"/>
  <c r="E6" i="3"/>
  <c r="D6" i="3"/>
  <c r="C6" i="3"/>
  <c r="B6" i="3"/>
  <c r="G5" i="3"/>
  <c r="F5" i="3"/>
  <c r="E5" i="3"/>
  <c r="D5" i="3"/>
  <c r="C5" i="3"/>
  <c r="B5" i="3"/>
  <c r="G4" i="3"/>
  <c r="F4" i="3"/>
  <c r="E4" i="3"/>
  <c r="D4" i="3"/>
  <c r="C4" i="3"/>
  <c r="B4" i="3"/>
  <c r="G3" i="3"/>
  <c r="F3" i="3"/>
  <c r="E3" i="3"/>
  <c r="D3" i="3"/>
  <c r="C3" i="3"/>
  <c r="B3" i="3"/>
  <c r="G2" i="3"/>
  <c r="F2" i="3"/>
  <c r="E2" i="3"/>
  <c r="D2" i="3"/>
  <c r="C2" i="3"/>
  <c r="B2" i="3"/>
  <c r="F49" i="5"/>
  <c r="G49" i="5"/>
  <c r="H49" i="5"/>
  <c r="I49" i="5"/>
  <c r="J49" i="5"/>
  <c r="K49" i="5"/>
  <c r="L49" i="5"/>
  <c r="M49" i="5"/>
  <c r="N49" i="5"/>
  <c r="F50" i="5"/>
  <c r="G50" i="5"/>
  <c r="H50" i="5"/>
  <c r="I50" i="5"/>
  <c r="J50" i="5"/>
  <c r="K50" i="5"/>
  <c r="L50" i="5"/>
  <c r="M50" i="5"/>
  <c r="N50" i="5"/>
  <c r="E50" i="5"/>
  <c r="E49" i="5"/>
  <c r="D8" i="18" l="1"/>
  <c r="C20" i="18"/>
  <c r="I18" i="18"/>
  <c r="C17" i="18"/>
  <c r="J16" i="18"/>
  <c r="I16" i="18"/>
  <c r="H16" i="18"/>
  <c r="G16" i="18"/>
  <c r="F16" i="18"/>
  <c r="E16" i="18"/>
  <c r="D16" i="18"/>
  <c r="J15" i="18"/>
  <c r="J18" i="18" s="1"/>
  <c r="I15" i="18"/>
  <c r="H15" i="18"/>
  <c r="H18" i="18" s="1"/>
  <c r="G15" i="18"/>
  <c r="F15" i="18"/>
  <c r="F18" i="18" s="1"/>
  <c r="E15" i="18"/>
  <c r="E18" i="18" s="1"/>
  <c r="D15" i="18"/>
  <c r="D18" i="18" s="1"/>
  <c r="C13" i="18"/>
  <c r="C10" i="18"/>
  <c r="J9" i="18"/>
  <c r="I9" i="18"/>
  <c r="H9" i="18"/>
  <c r="G9" i="18"/>
  <c r="F9" i="18"/>
  <c r="E9" i="18"/>
  <c r="D9" i="18"/>
  <c r="J8" i="18"/>
  <c r="J11" i="18" s="1"/>
  <c r="I8" i="18"/>
  <c r="H8" i="18"/>
  <c r="G8" i="18"/>
  <c r="F8" i="18"/>
  <c r="E8" i="18"/>
  <c r="E11" i="18" s="1"/>
  <c r="P19" i="17"/>
  <c r="O19" i="17"/>
  <c r="N19" i="17"/>
  <c r="M19" i="17"/>
  <c r="L19" i="17"/>
  <c r="P18" i="17"/>
  <c r="O18" i="17"/>
  <c r="N18" i="17"/>
  <c r="M18" i="17"/>
  <c r="L18" i="17"/>
  <c r="Q19" i="17" l="1"/>
  <c r="Q18" i="17"/>
  <c r="G61" i="18" s="1"/>
  <c r="I17" i="18"/>
  <c r="I20" i="18" s="1"/>
  <c r="H17" i="18"/>
  <c r="E17" i="18"/>
  <c r="F11" i="18"/>
  <c r="I10" i="18"/>
  <c r="G51" i="18"/>
  <c r="F51" i="18"/>
  <c r="D10" i="18"/>
  <c r="E10" i="18"/>
  <c r="L20" i="17"/>
  <c r="J10" i="18"/>
  <c r="F17" i="18"/>
  <c r="G18" i="18"/>
  <c r="D51" i="18"/>
  <c r="D11" i="18"/>
  <c r="G17" i="18"/>
  <c r="E51" i="18"/>
  <c r="F10" i="18"/>
  <c r="G11" i="18"/>
  <c r="J17" i="18"/>
  <c r="H51" i="18"/>
  <c r="G10" i="18"/>
  <c r="H11" i="18"/>
  <c r="I51" i="18"/>
  <c r="H10" i="18"/>
  <c r="I11" i="18"/>
  <c r="D17" i="18"/>
  <c r="J51" i="18"/>
  <c r="F61" i="18" l="1"/>
  <c r="D61" i="18"/>
  <c r="J61" i="18"/>
  <c r="I61" i="18"/>
  <c r="E61" i="18"/>
  <c r="H61" i="18"/>
  <c r="I54" i="18"/>
  <c r="I55" i="18" s="1"/>
  <c r="D54" i="18"/>
  <c r="D55" i="18" s="1"/>
  <c r="J54" i="18"/>
  <c r="J55" i="18" s="1"/>
  <c r="H54" i="18"/>
  <c r="H55" i="18" s="1"/>
  <c r="G54" i="18"/>
  <c r="G55" i="18" s="1"/>
  <c r="F54" i="18"/>
  <c r="F55" i="18" s="1"/>
  <c r="E54" i="18"/>
  <c r="E55" i="18" s="1"/>
  <c r="G12" i="18"/>
  <c r="G13" i="18"/>
  <c r="I12" i="18"/>
  <c r="I13" i="18"/>
  <c r="D19" i="18"/>
  <c r="D20" i="18"/>
  <c r="F12" i="18"/>
  <c r="F13" i="18"/>
  <c r="D12" i="18"/>
  <c r="D13" i="18"/>
  <c r="F19" i="18"/>
  <c r="F20" i="18"/>
  <c r="J19" i="18"/>
  <c r="J20" i="18"/>
  <c r="H12" i="18"/>
  <c r="H13" i="18"/>
  <c r="E12" i="18"/>
  <c r="E13" i="18"/>
  <c r="E19" i="18"/>
  <c r="E20" i="18"/>
  <c r="H19" i="18"/>
  <c r="H20" i="18"/>
  <c r="J12" i="18"/>
  <c r="J13" i="18"/>
  <c r="I19" i="18"/>
  <c r="G19" i="18"/>
  <c r="G20" i="18"/>
  <c r="F62" i="18" l="1"/>
  <c r="F63" i="18" s="1"/>
  <c r="G56" i="18"/>
  <c r="D56" i="18"/>
  <c r="E56" i="18"/>
  <c r="H56" i="18"/>
  <c r="I62" i="18"/>
  <c r="I63" i="18" s="1"/>
  <c r="G62" i="18"/>
  <c r="G63" i="18" s="1"/>
  <c r="D62" i="18"/>
  <c r="D63" i="18" s="1"/>
  <c r="E62" i="18"/>
  <c r="E63" i="18" s="1"/>
  <c r="I56" i="18"/>
  <c r="H62" i="18"/>
  <c r="H63" i="18" s="1"/>
  <c r="F56" i="18"/>
  <c r="J56" i="18"/>
  <c r="J62" i="18"/>
  <c r="J63" i="18" s="1"/>
  <c r="J135" i="3" l="1"/>
  <c r="G191" i="3"/>
  <c r="F191" i="3"/>
  <c r="E191" i="3"/>
  <c r="G174" i="3"/>
  <c r="F174" i="3"/>
  <c r="E174" i="3"/>
  <c r="J33" i="3"/>
  <c r="J201" i="3" l="1"/>
  <c r="B188" i="3"/>
  <c r="N37" i="5" l="1"/>
  <c r="N36" i="5"/>
  <c r="N35" i="5"/>
  <c r="N34" i="5"/>
  <c r="N24" i="5"/>
  <c r="N23" i="5"/>
  <c r="H6" i="3" l="1"/>
  <c r="H5" i="3"/>
  <c r="J5" i="3" s="1"/>
  <c r="I23" i="5" l="1"/>
  <c r="I24" i="5"/>
  <c r="J13" i="6" l="1"/>
  <c r="J19" i="6"/>
  <c r="A27" i="3" l="1"/>
  <c r="J85" i="3" l="1"/>
  <c r="J81" i="3"/>
  <c r="B75" i="3" l="1"/>
  <c r="H24" i="5"/>
  <c r="H23" i="5"/>
  <c r="AE21" i="3" l="1"/>
  <c r="W22" i="3"/>
  <c r="O20" i="3"/>
  <c r="O21" i="3" l="1"/>
  <c r="W21" i="3"/>
  <c r="AE22" i="3"/>
  <c r="O22" i="3"/>
  <c r="W20" i="3"/>
  <c r="AE20" i="3"/>
  <c r="O19" i="3" l="1"/>
  <c r="W19" i="3"/>
  <c r="AE19" i="3"/>
  <c r="O18" i="3"/>
  <c r="AE18" i="3"/>
  <c r="W18" i="3"/>
  <c r="AE17" i="3"/>
  <c r="O17" i="3"/>
  <c r="W17" i="3"/>
  <c r="J69" i="3"/>
  <c r="J104" i="3"/>
  <c r="J184" i="3"/>
  <c r="J166" i="3"/>
  <c r="J162" i="3"/>
  <c r="J153" i="3"/>
  <c r="J131" i="3"/>
  <c r="J53" i="3"/>
  <c r="L53" i="3" s="1"/>
  <c r="J37" i="3"/>
  <c r="L37" i="3" s="1"/>
  <c r="J121" i="3"/>
  <c r="J65" i="3"/>
  <c r="J49" i="3"/>
  <c r="H7" i="3" l="1"/>
  <c r="H8" i="3" l="1"/>
  <c r="B171" i="3"/>
  <c r="B156" i="3"/>
  <c r="B140" i="3"/>
  <c r="B125" i="3"/>
  <c r="B108" i="3" l="1"/>
  <c r="B91" i="3"/>
  <c r="B59" i="3"/>
  <c r="AM17" i="3" l="1"/>
  <c r="AM18" i="3"/>
  <c r="AM19" i="3"/>
  <c r="AM20" i="3"/>
  <c r="AM21" i="3"/>
  <c r="AM22" i="3"/>
  <c r="AU22" i="3" s="1"/>
  <c r="H10" i="3" l="1"/>
  <c r="J10" i="3" s="1"/>
  <c r="AU21" i="3"/>
  <c r="AU20" i="3" s="1"/>
  <c r="AU19" i="3" s="1"/>
  <c r="AU18" i="3" s="1"/>
  <c r="AU17" i="3" s="1"/>
  <c r="B83" i="3"/>
  <c r="J8" i="3"/>
  <c r="G77" i="3" l="1"/>
  <c r="G79" i="3" s="1"/>
  <c r="M37" i="5"/>
  <c r="M36" i="5"/>
  <c r="M35" i="5"/>
  <c r="M34" i="5"/>
  <c r="K37" i="5"/>
  <c r="K36" i="5"/>
  <c r="K35" i="5"/>
  <c r="K34" i="5"/>
  <c r="I37" i="5"/>
  <c r="I36" i="5"/>
  <c r="I35" i="5"/>
  <c r="I34" i="5"/>
  <c r="C12" i="3" l="1"/>
  <c r="C174" i="3"/>
  <c r="C191" i="3"/>
  <c r="B12" i="3"/>
  <c r="D191" i="3"/>
  <c r="D174" i="3"/>
  <c r="B174" i="3"/>
  <c r="B191" i="3"/>
  <c r="B173" i="3"/>
  <c r="B175" i="3" s="1"/>
  <c r="C190" i="3"/>
  <c r="C192" i="3" s="1"/>
  <c r="C193" i="3" s="1"/>
  <c r="C194" i="3" s="1"/>
  <c r="B190" i="3"/>
  <c r="B192" i="3" s="1"/>
  <c r="F190" i="3"/>
  <c r="E190" i="3"/>
  <c r="D190" i="3"/>
  <c r="D192" i="3" s="1"/>
  <c r="G190" i="3"/>
  <c r="C110" i="3"/>
  <c r="C112" i="3" s="1"/>
  <c r="C173" i="3"/>
  <c r="C175" i="3" s="1"/>
  <c r="C142" i="3"/>
  <c r="C144" i="3" s="1"/>
  <c r="G173" i="3"/>
  <c r="G175" i="3" s="1"/>
  <c r="G142" i="3"/>
  <c r="G144" i="3" s="1"/>
  <c r="G110" i="3"/>
  <c r="G112" i="3" s="1"/>
  <c r="F142" i="3"/>
  <c r="F144" i="3" s="1"/>
  <c r="F110" i="3"/>
  <c r="F112" i="3" s="1"/>
  <c r="F173" i="3"/>
  <c r="F175" i="3" s="1"/>
  <c r="E142" i="3"/>
  <c r="E144" i="3" s="1"/>
  <c r="E110" i="3"/>
  <c r="E112" i="3" s="1"/>
  <c r="E173" i="3"/>
  <c r="E175" i="3" s="1"/>
  <c r="D173" i="3"/>
  <c r="D175" i="3" s="1"/>
  <c r="D142" i="3"/>
  <c r="D144" i="3" s="1"/>
  <c r="D110" i="3"/>
  <c r="D112" i="3" s="1"/>
  <c r="B110" i="3"/>
  <c r="B112" i="3" s="1"/>
  <c r="B142" i="3"/>
  <c r="B144" i="3" s="1"/>
  <c r="B93" i="3"/>
  <c r="B95" i="3" s="1"/>
  <c r="F78" i="3"/>
  <c r="F46" i="3"/>
  <c r="F159" i="3"/>
  <c r="F30" i="3"/>
  <c r="F62" i="3"/>
  <c r="F128" i="3"/>
  <c r="G128" i="3"/>
  <c r="G159" i="3"/>
  <c r="G62" i="3"/>
  <c r="G78" i="3"/>
  <c r="G46" i="3"/>
  <c r="G30" i="3"/>
  <c r="B62" i="3"/>
  <c r="B159" i="3"/>
  <c r="B30" i="3"/>
  <c r="B78" i="3"/>
  <c r="B46" i="3"/>
  <c r="B128" i="3"/>
  <c r="C78" i="3"/>
  <c r="C30" i="3"/>
  <c r="C159" i="3"/>
  <c r="C128" i="3"/>
  <c r="C46" i="3"/>
  <c r="C62" i="3"/>
  <c r="E159" i="3"/>
  <c r="E30" i="3"/>
  <c r="E78" i="3"/>
  <c r="E62" i="3"/>
  <c r="E46" i="3"/>
  <c r="E128" i="3"/>
  <c r="D62" i="3"/>
  <c r="D128" i="3"/>
  <c r="D159" i="3"/>
  <c r="D30" i="3"/>
  <c r="D78" i="3"/>
  <c r="D46" i="3"/>
  <c r="H9" i="3"/>
  <c r="J9" i="3" s="1"/>
  <c r="H4" i="3"/>
  <c r="J4" i="3" s="1"/>
  <c r="H3" i="3"/>
  <c r="J3" i="3" s="1"/>
  <c r="H11" i="3"/>
  <c r="J11" i="3" s="1"/>
  <c r="D77" i="3"/>
  <c r="D79" i="3" s="1"/>
  <c r="C77" i="3"/>
  <c r="C79" i="3" s="1"/>
  <c r="F77" i="3"/>
  <c r="F79" i="3" s="1"/>
  <c r="B77" i="3"/>
  <c r="B79" i="3" s="1"/>
  <c r="E77" i="3"/>
  <c r="E79" i="3" s="1"/>
  <c r="R22" i="3"/>
  <c r="AH22" i="3"/>
  <c r="AP22" i="3"/>
  <c r="AX22" i="3" s="1"/>
  <c r="Z22" i="3"/>
  <c r="AR20" i="3"/>
  <c r="T20" i="3"/>
  <c r="AB20" i="3"/>
  <c r="AJ20" i="3"/>
  <c r="AN20" i="3"/>
  <c r="P20" i="3"/>
  <c r="X20" i="3"/>
  <c r="AF20" i="3"/>
  <c r="AP18" i="3"/>
  <c r="R18" i="3"/>
  <c r="Z18" i="3"/>
  <c r="AH18" i="3"/>
  <c r="AN16" i="3"/>
  <c r="P16" i="3"/>
  <c r="X16" i="3"/>
  <c r="AF16" i="3"/>
  <c r="AP21" i="3"/>
  <c r="R21" i="3"/>
  <c r="Z21" i="3"/>
  <c r="AH21" i="3"/>
  <c r="AG18" i="3"/>
  <c r="AO18" i="3"/>
  <c r="Q18" i="3"/>
  <c r="Y18" i="3"/>
  <c r="AI16" i="3"/>
  <c r="S16" i="3"/>
  <c r="AQ16" i="3"/>
  <c r="AA16" i="3"/>
  <c r="AR22" i="3"/>
  <c r="AZ22" i="3" s="1"/>
  <c r="T22" i="3"/>
  <c r="AB22" i="3"/>
  <c r="AJ22" i="3"/>
  <c r="AN22" i="3"/>
  <c r="AV22" i="3" s="1"/>
  <c r="P22" i="3"/>
  <c r="X22" i="3"/>
  <c r="AF22" i="3"/>
  <c r="AO21" i="3"/>
  <c r="Q21" i="3"/>
  <c r="AG21" i="3"/>
  <c r="Y21" i="3"/>
  <c r="AP20" i="3"/>
  <c r="Z20" i="3"/>
  <c r="AH20" i="3"/>
  <c r="R20" i="3"/>
  <c r="AI19" i="3"/>
  <c r="S19" i="3"/>
  <c r="AQ19" i="3"/>
  <c r="AA19" i="3"/>
  <c r="AJ18" i="3"/>
  <c r="AR18" i="3"/>
  <c r="T18" i="3"/>
  <c r="AB18" i="3"/>
  <c r="AF18" i="3"/>
  <c r="AN18" i="3"/>
  <c r="P18" i="3"/>
  <c r="X18" i="3"/>
  <c r="AO17" i="3"/>
  <c r="Q17" i="3"/>
  <c r="AG17" i="3"/>
  <c r="Y17" i="3"/>
  <c r="Q16" i="3"/>
  <c r="Y16" i="3"/>
  <c r="AG16" i="3"/>
  <c r="AO16" i="3"/>
  <c r="AQ21" i="3"/>
  <c r="AI21" i="3"/>
  <c r="AA21" i="3"/>
  <c r="S21" i="3"/>
  <c r="AO19" i="3"/>
  <c r="Q19" i="3"/>
  <c r="Y19" i="3"/>
  <c r="AG19" i="3"/>
  <c r="AQ17" i="3"/>
  <c r="S17" i="3"/>
  <c r="AA17" i="3"/>
  <c r="AI17" i="3"/>
  <c r="AR16" i="3"/>
  <c r="T16" i="3"/>
  <c r="AB16" i="3"/>
  <c r="AJ16" i="3"/>
  <c r="AO22" i="3"/>
  <c r="AW22" i="3" s="1"/>
  <c r="Q22" i="3"/>
  <c r="Y22" i="3"/>
  <c r="AG22" i="3"/>
  <c r="AI20" i="3"/>
  <c r="AQ20" i="3"/>
  <c r="S20" i="3"/>
  <c r="AA20" i="3"/>
  <c r="AJ19" i="3"/>
  <c r="AR19" i="3"/>
  <c r="T19" i="3"/>
  <c r="AB19" i="3"/>
  <c r="AF19" i="3"/>
  <c r="AN19" i="3"/>
  <c r="P19" i="3"/>
  <c r="X19" i="3"/>
  <c r="AH17" i="3"/>
  <c r="AP17" i="3"/>
  <c r="R17" i="3"/>
  <c r="Z17" i="3"/>
  <c r="AH16" i="3"/>
  <c r="AP16" i="3"/>
  <c r="R16" i="3"/>
  <c r="Z16" i="3"/>
  <c r="AA22" i="3"/>
  <c r="AQ22" i="3"/>
  <c r="AY22" i="3" s="1"/>
  <c r="S22" i="3"/>
  <c r="AI22" i="3"/>
  <c r="AR21" i="3"/>
  <c r="T21" i="3"/>
  <c r="AB21" i="3"/>
  <c r="AJ21" i="3"/>
  <c r="P21" i="3"/>
  <c r="X21" i="3"/>
  <c r="AN21" i="3"/>
  <c r="AF21" i="3"/>
  <c r="Y20" i="3"/>
  <c r="AO20" i="3"/>
  <c r="Q20" i="3"/>
  <c r="AG20" i="3"/>
  <c r="R19" i="3"/>
  <c r="Z19" i="3"/>
  <c r="AH19" i="3"/>
  <c r="AP19" i="3"/>
  <c r="AQ18" i="3"/>
  <c r="AA18" i="3"/>
  <c r="S18" i="3"/>
  <c r="AI18" i="3"/>
  <c r="AB17" i="3"/>
  <c r="AR17" i="3"/>
  <c r="AJ17" i="3"/>
  <c r="T17" i="3"/>
  <c r="AF17" i="3"/>
  <c r="AN17" i="3"/>
  <c r="X17" i="3"/>
  <c r="P17" i="3"/>
  <c r="O16" i="3"/>
  <c r="W16" i="3"/>
  <c r="AM16" i="3"/>
  <c r="AU16" i="3" s="1"/>
  <c r="AE16" i="3"/>
  <c r="AE23" i="3" s="1"/>
  <c r="F158" i="3"/>
  <c r="F160" i="3" s="1"/>
  <c r="D158" i="3"/>
  <c r="D160" i="3" s="1"/>
  <c r="D127" i="3"/>
  <c r="D129" i="3" s="1"/>
  <c r="C158" i="3"/>
  <c r="C160" i="3" s="1"/>
  <c r="C127" i="3"/>
  <c r="C129" i="3" s="1"/>
  <c r="F127" i="3"/>
  <c r="F129" i="3" s="1"/>
  <c r="B127" i="3"/>
  <c r="B158" i="3"/>
  <c r="E127" i="3"/>
  <c r="E129" i="3" s="1"/>
  <c r="E158" i="3"/>
  <c r="E160" i="3" s="1"/>
  <c r="G127" i="3"/>
  <c r="G129" i="3" s="1"/>
  <c r="G158" i="3"/>
  <c r="G160" i="3" s="1"/>
  <c r="F61" i="3"/>
  <c r="F63" i="3" s="1"/>
  <c r="B61" i="3"/>
  <c r="B63" i="3" s="1"/>
  <c r="E61" i="3"/>
  <c r="E63" i="3" s="1"/>
  <c r="D61" i="3"/>
  <c r="D63" i="3" s="1"/>
  <c r="G61" i="3"/>
  <c r="G63" i="3" s="1"/>
  <c r="C61" i="3"/>
  <c r="C63" i="3" s="1"/>
  <c r="F45" i="3"/>
  <c r="F47" i="3" s="1"/>
  <c r="B45" i="3"/>
  <c r="B47" i="3" s="1"/>
  <c r="E45" i="3"/>
  <c r="E47" i="3" s="1"/>
  <c r="D45" i="3"/>
  <c r="D47" i="3" s="1"/>
  <c r="G45" i="3"/>
  <c r="G47" i="3" s="1"/>
  <c r="C45" i="3"/>
  <c r="C47" i="3" s="1"/>
  <c r="D29" i="3"/>
  <c r="D31" i="3" s="1"/>
  <c r="G29" i="3"/>
  <c r="G31" i="3" s="1"/>
  <c r="C29" i="3"/>
  <c r="C31" i="3" s="1"/>
  <c r="F29" i="3"/>
  <c r="F31" i="3" s="1"/>
  <c r="B29" i="3"/>
  <c r="B31" i="3" s="1"/>
  <c r="E29" i="3"/>
  <c r="E31" i="3" s="1"/>
  <c r="J7" i="3"/>
  <c r="J6" i="3"/>
  <c r="H16" i="3"/>
  <c r="J16" i="3" s="1"/>
  <c r="B23" i="3"/>
  <c r="D23" i="3"/>
  <c r="G23" i="3"/>
  <c r="C23" i="3"/>
  <c r="H21" i="3"/>
  <c r="H19" i="3"/>
  <c r="J19" i="3" s="1"/>
  <c r="H17" i="3"/>
  <c r="J17" i="3" s="1"/>
  <c r="F23" i="3"/>
  <c r="E23" i="3"/>
  <c r="H22" i="3"/>
  <c r="J22" i="3" s="1"/>
  <c r="H20" i="3"/>
  <c r="J20" i="3" s="1"/>
  <c r="H18" i="3"/>
  <c r="J18" i="3" s="1"/>
  <c r="H191" i="3" l="1"/>
  <c r="D193" i="3"/>
  <c r="D194" i="3" s="1"/>
  <c r="H63" i="3"/>
  <c r="H190" i="3"/>
  <c r="I190" i="3" s="1"/>
  <c r="E192" i="3"/>
  <c r="E193" i="3" s="1"/>
  <c r="E194" i="3" s="1"/>
  <c r="G192" i="3"/>
  <c r="G193" i="3" s="1"/>
  <c r="G194" i="3" s="1"/>
  <c r="F192" i="3"/>
  <c r="F193" i="3" s="1"/>
  <c r="F194" i="3" s="1"/>
  <c r="B193" i="3"/>
  <c r="G176" i="3"/>
  <c r="G177" i="3" s="1"/>
  <c r="G113" i="3"/>
  <c r="AW21" i="3"/>
  <c r="AW20" i="3" s="1"/>
  <c r="AW19" i="3" s="1"/>
  <c r="AW18" i="3" s="1"/>
  <c r="AW17" i="3" s="1"/>
  <c r="AW16" i="3" s="1"/>
  <c r="F80" i="3"/>
  <c r="F81" i="3" s="1"/>
  <c r="E80" i="3"/>
  <c r="E81" i="3" s="1"/>
  <c r="G80" i="3"/>
  <c r="G81" i="3" s="1"/>
  <c r="D80" i="3"/>
  <c r="D81" i="3" s="1"/>
  <c r="C80" i="3"/>
  <c r="C81" i="3" s="1"/>
  <c r="F83" i="3"/>
  <c r="H78" i="3"/>
  <c r="C83" i="3"/>
  <c r="G83" i="3"/>
  <c r="D83" i="3"/>
  <c r="E83" i="3"/>
  <c r="G145" i="3"/>
  <c r="G146" i="3" s="1"/>
  <c r="E113" i="3"/>
  <c r="C113" i="3"/>
  <c r="AX21" i="3"/>
  <c r="AX20" i="3" s="1"/>
  <c r="AX19" i="3" s="1"/>
  <c r="AX18" i="3" s="1"/>
  <c r="AX17" i="3" s="1"/>
  <c r="AX16" i="3" s="1"/>
  <c r="AY21" i="3"/>
  <c r="AY20" i="3" s="1"/>
  <c r="AY19" i="3" s="1"/>
  <c r="AY18" i="3" s="1"/>
  <c r="AY17" i="3" s="1"/>
  <c r="AY16" i="3" s="1"/>
  <c r="D113" i="3"/>
  <c r="F113" i="3"/>
  <c r="D145" i="3"/>
  <c r="D146" i="3" s="1"/>
  <c r="E145" i="3"/>
  <c r="E146" i="3" s="1"/>
  <c r="F145" i="3"/>
  <c r="F146" i="3" s="1"/>
  <c r="C145" i="3"/>
  <c r="C146" i="3" s="1"/>
  <c r="D176" i="3"/>
  <c r="D177" i="3" s="1"/>
  <c r="E176" i="3"/>
  <c r="E177" i="3" s="1"/>
  <c r="F176" i="3"/>
  <c r="F177" i="3" s="1"/>
  <c r="C176" i="3"/>
  <c r="C177" i="3" s="1"/>
  <c r="AV21" i="3"/>
  <c r="AV20" i="3" s="1"/>
  <c r="AV19" i="3" s="1"/>
  <c r="AV18" i="3" s="1"/>
  <c r="AV17" i="3" s="1"/>
  <c r="AV16" i="3" s="1"/>
  <c r="AZ21" i="3"/>
  <c r="AZ20" i="3" s="1"/>
  <c r="AZ19" i="3" s="1"/>
  <c r="AZ18" i="3" s="1"/>
  <c r="AZ17" i="3" s="1"/>
  <c r="AZ16" i="3" s="1"/>
  <c r="AL100" i="3"/>
  <c r="AL99" i="3" s="1"/>
  <c r="AL98" i="3" s="1"/>
  <c r="J21" i="3"/>
  <c r="B176" i="3"/>
  <c r="H95" i="3"/>
  <c r="B113" i="3"/>
  <c r="B145" i="3"/>
  <c r="E133" i="3"/>
  <c r="E164" i="3"/>
  <c r="E51" i="3"/>
  <c r="E67" i="3"/>
  <c r="E35" i="3"/>
  <c r="B133" i="3"/>
  <c r="B164" i="3"/>
  <c r="B67" i="3"/>
  <c r="C164" i="3"/>
  <c r="C67" i="3"/>
  <c r="C133" i="3"/>
  <c r="G164" i="3"/>
  <c r="G51" i="3"/>
  <c r="G67" i="3"/>
  <c r="G35" i="3"/>
  <c r="G133" i="3"/>
  <c r="D67" i="3"/>
  <c r="D133" i="3"/>
  <c r="D164" i="3"/>
  <c r="F133" i="3"/>
  <c r="F164" i="3"/>
  <c r="F51" i="3"/>
  <c r="F67" i="3"/>
  <c r="F35" i="3"/>
  <c r="D35" i="3"/>
  <c r="D51" i="3"/>
  <c r="B35" i="3"/>
  <c r="B51" i="3"/>
  <c r="C35" i="3"/>
  <c r="C51" i="3"/>
  <c r="H111" i="3"/>
  <c r="H143" i="3"/>
  <c r="H174" i="3"/>
  <c r="B129" i="3"/>
  <c r="H127" i="3"/>
  <c r="I127" i="3" s="1"/>
  <c r="H159" i="3"/>
  <c r="H128" i="3"/>
  <c r="B160" i="3"/>
  <c r="H158" i="3"/>
  <c r="I158" i="3" s="1"/>
  <c r="H142" i="3"/>
  <c r="I142" i="3" s="1"/>
  <c r="H173" i="3"/>
  <c r="I173" i="3" s="1"/>
  <c r="H110" i="3"/>
  <c r="I110" i="3" s="1"/>
  <c r="H93" i="3"/>
  <c r="I93" i="3" s="1"/>
  <c r="H94" i="3"/>
  <c r="H62" i="3"/>
  <c r="H61" i="3"/>
  <c r="I61" i="3" s="1"/>
  <c r="H47" i="3"/>
  <c r="H46" i="3"/>
  <c r="H45" i="3"/>
  <c r="I45" i="3" s="1"/>
  <c r="AC17" i="3"/>
  <c r="AO23" i="3"/>
  <c r="D116" i="3" s="1"/>
  <c r="AM23" i="3"/>
  <c r="AC18" i="3"/>
  <c r="U19" i="3"/>
  <c r="AI23" i="3"/>
  <c r="AC20" i="3"/>
  <c r="Y23" i="3"/>
  <c r="D84" i="3" s="1"/>
  <c r="T23" i="3"/>
  <c r="U16" i="3"/>
  <c r="O23" i="3"/>
  <c r="U21" i="3"/>
  <c r="AC22" i="3"/>
  <c r="Z23" i="3"/>
  <c r="E84" i="3" s="1"/>
  <c r="X23" i="3"/>
  <c r="C84" i="3" s="1"/>
  <c r="AB23" i="3"/>
  <c r="G84" i="3" s="1"/>
  <c r="AC19" i="3"/>
  <c r="U17" i="3"/>
  <c r="AK22" i="3"/>
  <c r="AH23" i="3"/>
  <c r="AF23" i="3"/>
  <c r="U22" i="3"/>
  <c r="AK17" i="3"/>
  <c r="AK19" i="3"/>
  <c r="S23" i="3"/>
  <c r="AG23" i="3"/>
  <c r="AK16" i="3"/>
  <c r="U18" i="3"/>
  <c r="AK18" i="3"/>
  <c r="AA23" i="3"/>
  <c r="F84" i="3" s="1"/>
  <c r="R23" i="3"/>
  <c r="AK20" i="3"/>
  <c r="AC21" i="3"/>
  <c r="P23" i="3"/>
  <c r="AK21" i="3"/>
  <c r="AJ23" i="3"/>
  <c r="H23" i="3"/>
  <c r="AC16" i="3"/>
  <c r="W23" i="3"/>
  <c r="B84" i="3" s="1"/>
  <c r="AS22" i="3"/>
  <c r="AS17" i="3"/>
  <c r="AQ23" i="3"/>
  <c r="F116" i="3" s="1"/>
  <c r="AS18" i="3"/>
  <c r="AS21" i="3"/>
  <c r="AP23" i="3"/>
  <c r="E196" i="3" s="1"/>
  <c r="E197" i="3" s="1"/>
  <c r="E198" i="3" s="1"/>
  <c r="AR23" i="3"/>
  <c r="G196" i="3" s="1"/>
  <c r="AS16" i="3"/>
  <c r="AS20" i="3"/>
  <c r="AN23" i="3"/>
  <c r="C196" i="3" s="1"/>
  <c r="C197" i="3" s="1"/>
  <c r="C198" i="3" s="1"/>
  <c r="C199" i="3" s="1"/>
  <c r="AP197" i="3" l="1"/>
  <c r="D196" i="3"/>
  <c r="AO191" i="3" s="1"/>
  <c r="AR197" i="3"/>
  <c r="AR191" i="3"/>
  <c r="AR195" i="3"/>
  <c r="G197" i="3"/>
  <c r="G198" i="3" s="1"/>
  <c r="G199" i="3" s="1"/>
  <c r="AR196" i="3"/>
  <c r="AR194" i="3"/>
  <c r="AR192" i="3"/>
  <c r="AR193" i="3"/>
  <c r="AN193" i="3"/>
  <c r="AN196" i="3"/>
  <c r="AP191" i="3"/>
  <c r="AN195" i="3"/>
  <c r="AP196" i="3"/>
  <c r="AN194" i="3"/>
  <c r="AP193" i="3"/>
  <c r="AP195" i="3"/>
  <c r="B99" i="3"/>
  <c r="AM96" i="3" s="1"/>
  <c r="B196" i="3"/>
  <c r="AN191" i="3"/>
  <c r="AP192" i="3"/>
  <c r="AN197" i="3"/>
  <c r="AN192" i="3"/>
  <c r="AP194" i="3"/>
  <c r="F196" i="3"/>
  <c r="H192" i="3"/>
  <c r="E199" i="3"/>
  <c r="B194" i="3"/>
  <c r="H194" i="3" s="1"/>
  <c r="H193" i="3"/>
  <c r="I191" i="3" s="1"/>
  <c r="C148" i="3"/>
  <c r="AN143" i="3" s="1"/>
  <c r="C116" i="3"/>
  <c r="B116" i="3"/>
  <c r="E148" i="3"/>
  <c r="AP146" i="3" s="1"/>
  <c r="E116" i="3"/>
  <c r="G179" i="3"/>
  <c r="AR176" i="3" s="1"/>
  <c r="G116" i="3"/>
  <c r="F85" i="3"/>
  <c r="G85" i="3"/>
  <c r="H77" i="3"/>
  <c r="I77" i="3" s="1"/>
  <c r="C85" i="3"/>
  <c r="B85" i="3"/>
  <c r="H84" i="3"/>
  <c r="E85" i="3"/>
  <c r="H83" i="3"/>
  <c r="D85" i="3"/>
  <c r="B96" i="3"/>
  <c r="B97" i="3" s="1"/>
  <c r="H97" i="3" s="1"/>
  <c r="AQ113" i="3"/>
  <c r="AQ116" i="3"/>
  <c r="AQ111" i="3"/>
  <c r="AQ114" i="3"/>
  <c r="AQ112" i="3"/>
  <c r="AQ117" i="3"/>
  <c r="AQ115" i="3"/>
  <c r="AO111" i="3"/>
  <c r="AO117" i="3"/>
  <c r="AO114" i="3"/>
  <c r="AO112" i="3"/>
  <c r="AO115" i="3"/>
  <c r="AO116" i="3"/>
  <c r="AO113" i="3"/>
  <c r="J23" i="3"/>
  <c r="E114" i="3"/>
  <c r="G114" i="3"/>
  <c r="D114" i="3"/>
  <c r="F114" i="3"/>
  <c r="B114" i="3"/>
  <c r="C179" i="3"/>
  <c r="B179" i="3"/>
  <c r="F179" i="3"/>
  <c r="E179" i="3"/>
  <c r="G148" i="3"/>
  <c r="D179" i="3"/>
  <c r="D148" i="3"/>
  <c r="B148" i="3"/>
  <c r="F148" i="3"/>
  <c r="F165" i="3"/>
  <c r="F166" i="3" s="1"/>
  <c r="F68" i="3"/>
  <c r="F69" i="3" s="1"/>
  <c r="F134" i="3"/>
  <c r="F135" i="3" s="1"/>
  <c r="C68" i="3"/>
  <c r="C69" i="3" s="1"/>
  <c r="C134" i="3"/>
  <c r="C165" i="3"/>
  <c r="C166" i="3" s="1"/>
  <c r="H133" i="3"/>
  <c r="E134" i="3"/>
  <c r="E135" i="3" s="1"/>
  <c r="E165" i="3"/>
  <c r="E166" i="3" s="1"/>
  <c r="E68" i="3"/>
  <c r="E69" i="3" s="1"/>
  <c r="H164" i="3"/>
  <c r="H67" i="3"/>
  <c r="B165" i="3"/>
  <c r="B68" i="3"/>
  <c r="B134" i="3"/>
  <c r="B135" i="3" s="1"/>
  <c r="G68" i="3"/>
  <c r="G69" i="3" s="1"/>
  <c r="G134" i="3"/>
  <c r="G135" i="3" s="1"/>
  <c r="G165" i="3"/>
  <c r="G166" i="3" s="1"/>
  <c r="D134" i="3"/>
  <c r="D135" i="3" s="1"/>
  <c r="D165" i="3"/>
  <c r="D166" i="3" s="1"/>
  <c r="D68" i="3"/>
  <c r="D69" i="3" s="1"/>
  <c r="H144" i="3"/>
  <c r="H175" i="3"/>
  <c r="H160" i="3"/>
  <c r="H129" i="3"/>
  <c r="H112" i="3"/>
  <c r="C52" i="3"/>
  <c r="C53" i="3" s="1"/>
  <c r="C36" i="3"/>
  <c r="C37" i="3" s="1"/>
  <c r="B52" i="3"/>
  <c r="B53" i="3" s="1"/>
  <c r="B36" i="3"/>
  <c r="B37" i="3" s="1"/>
  <c r="F52" i="3"/>
  <c r="F53" i="3" s="1"/>
  <c r="F36" i="3"/>
  <c r="F37" i="3" s="1"/>
  <c r="G52" i="3"/>
  <c r="G53" i="3" s="1"/>
  <c r="G36" i="3"/>
  <c r="G37" i="3" s="1"/>
  <c r="E52" i="3"/>
  <c r="E53" i="3" s="1"/>
  <c r="E36" i="3"/>
  <c r="E37" i="3" s="1"/>
  <c r="AC23" i="3"/>
  <c r="AK23" i="3"/>
  <c r="U20" i="3"/>
  <c r="Q23" i="3"/>
  <c r="AS19" i="3"/>
  <c r="AS23" i="3" s="1"/>
  <c r="AO195" i="3" l="1"/>
  <c r="AO194" i="3"/>
  <c r="AO197" i="3"/>
  <c r="AO192" i="3"/>
  <c r="D197" i="3"/>
  <c r="D198" i="3" s="1"/>
  <c r="D199" i="3" s="1"/>
  <c r="AM95" i="3"/>
  <c r="AM100" i="3"/>
  <c r="AN100" i="3" s="1"/>
  <c r="AM97" i="3"/>
  <c r="AN97" i="3" s="1"/>
  <c r="AM98" i="3"/>
  <c r="AO196" i="3"/>
  <c r="AM94" i="3"/>
  <c r="AO193" i="3"/>
  <c r="AP198" i="3"/>
  <c r="AR198" i="3"/>
  <c r="AM99" i="3"/>
  <c r="AN99" i="3" s="1"/>
  <c r="AN198" i="3"/>
  <c r="AQ195" i="3"/>
  <c r="AQ192" i="3"/>
  <c r="AQ197" i="3"/>
  <c r="AQ193" i="3"/>
  <c r="AQ191" i="3"/>
  <c r="F197" i="3"/>
  <c r="F198" i="3" s="1"/>
  <c r="F199" i="3" s="1"/>
  <c r="AQ196" i="3"/>
  <c r="AQ194" i="3"/>
  <c r="AM196" i="3"/>
  <c r="AM195" i="3"/>
  <c r="H196" i="3"/>
  <c r="AM194" i="3"/>
  <c r="AM192" i="3"/>
  <c r="AM193" i="3"/>
  <c r="AM191" i="3"/>
  <c r="AM197" i="3"/>
  <c r="AR177" i="3"/>
  <c r="AP149" i="3"/>
  <c r="AN145" i="3"/>
  <c r="AR174" i="3"/>
  <c r="AR179" i="3"/>
  <c r="AR178" i="3"/>
  <c r="AR175" i="3"/>
  <c r="AR180" i="3"/>
  <c r="AN148" i="3"/>
  <c r="AN146" i="3"/>
  <c r="AN149" i="3"/>
  <c r="AN144" i="3"/>
  <c r="AP147" i="3"/>
  <c r="AP143" i="3"/>
  <c r="AP145" i="3"/>
  <c r="AP148" i="3"/>
  <c r="AP144" i="3"/>
  <c r="I83" i="3"/>
  <c r="I84" i="3" s="1"/>
  <c r="L85" i="3" s="1"/>
  <c r="I166" i="3"/>
  <c r="I85" i="3"/>
  <c r="H85" i="3"/>
  <c r="B80" i="3"/>
  <c r="H79" i="3"/>
  <c r="I67" i="3"/>
  <c r="I135" i="3"/>
  <c r="I164" i="3"/>
  <c r="I133" i="3"/>
  <c r="I69" i="3"/>
  <c r="AR112" i="3"/>
  <c r="AR113" i="3"/>
  <c r="AR114" i="3"/>
  <c r="AR115" i="3"/>
  <c r="AR111" i="3"/>
  <c r="AR116" i="3"/>
  <c r="AR117" i="3"/>
  <c r="AP179" i="3"/>
  <c r="AP176" i="3"/>
  <c r="AP174" i="3"/>
  <c r="AP180" i="3"/>
  <c r="AP178" i="3"/>
  <c r="AP177" i="3"/>
  <c r="AP175" i="3"/>
  <c r="AN112" i="3"/>
  <c r="AN113" i="3"/>
  <c r="AN114" i="3"/>
  <c r="AN117" i="3"/>
  <c r="AN111" i="3"/>
  <c r="AN116" i="3"/>
  <c r="AQ118" i="3"/>
  <c r="F117" i="3" s="1"/>
  <c r="F118" i="3" s="1"/>
  <c r="F119" i="3" s="1"/>
  <c r="AP114" i="3"/>
  <c r="AP115" i="3"/>
  <c r="AP116" i="3"/>
  <c r="AP111" i="3"/>
  <c r="AP117" i="3"/>
  <c r="AP113" i="3"/>
  <c r="AP112" i="3"/>
  <c r="AO177" i="3"/>
  <c r="AO175" i="3"/>
  <c r="AO179" i="3"/>
  <c r="AO176" i="3"/>
  <c r="AO174" i="3"/>
  <c r="AO180" i="3"/>
  <c r="AO178" i="3"/>
  <c r="AN180" i="3"/>
  <c r="AN177" i="3"/>
  <c r="AN175" i="3"/>
  <c r="AN179" i="3"/>
  <c r="AN176" i="3"/>
  <c r="AN174" i="3"/>
  <c r="AM148" i="3"/>
  <c r="AM147" i="3"/>
  <c r="AM145" i="3"/>
  <c r="AM143" i="3"/>
  <c r="AM149" i="3"/>
  <c r="AM146" i="3"/>
  <c r="AM144" i="3"/>
  <c r="AQ176" i="3"/>
  <c r="AQ174" i="3"/>
  <c r="AQ180" i="3"/>
  <c r="AQ178" i="3"/>
  <c r="AQ177" i="3"/>
  <c r="AQ175" i="3"/>
  <c r="AQ179" i="3"/>
  <c r="AO118" i="3"/>
  <c r="D117" i="3" s="1"/>
  <c r="D118" i="3" s="1"/>
  <c r="D119" i="3" s="1"/>
  <c r="AO149" i="3"/>
  <c r="AO147" i="3"/>
  <c r="AO146" i="3"/>
  <c r="AO144" i="3"/>
  <c r="AO148" i="3"/>
  <c r="AO145" i="3"/>
  <c r="AO143" i="3"/>
  <c r="AM178" i="3"/>
  <c r="AM176" i="3"/>
  <c r="AM174" i="3"/>
  <c r="AM180" i="3"/>
  <c r="AM177" i="3"/>
  <c r="AM175" i="3"/>
  <c r="AM179" i="3"/>
  <c r="AM115" i="3"/>
  <c r="AM114" i="3"/>
  <c r="AQ148" i="3"/>
  <c r="AQ145" i="3"/>
  <c r="AQ143" i="3"/>
  <c r="AQ149" i="3"/>
  <c r="AQ147" i="3"/>
  <c r="AQ146" i="3"/>
  <c r="AQ144" i="3"/>
  <c r="AR145" i="3"/>
  <c r="AR143" i="3"/>
  <c r="AR149" i="3"/>
  <c r="AR147" i="3"/>
  <c r="AR146" i="3"/>
  <c r="AR144" i="3"/>
  <c r="AR148" i="3"/>
  <c r="AM111" i="3"/>
  <c r="AM117" i="3"/>
  <c r="AM113" i="3"/>
  <c r="AM116" i="3"/>
  <c r="AM112" i="3"/>
  <c r="H96" i="3"/>
  <c r="H179" i="3"/>
  <c r="H148" i="3"/>
  <c r="H68" i="3"/>
  <c r="B69" i="3"/>
  <c r="H69" i="3" s="1"/>
  <c r="B166" i="3"/>
  <c r="H166" i="3" s="1"/>
  <c r="H165" i="3"/>
  <c r="H134" i="3"/>
  <c r="C135" i="3"/>
  <c r="H135" i="3" s="1"/>
  <c r="B146" i="3"/>
  <c r="H145" i="3"/>
  <c r="H116" i="3"/>
  <c r="B177" i="3"/>
  <c r="H176" i="3"/>
  <c r="C114" i="3"/>
  <c r="H113" i="3"/>
  <c r="H99" i="3"/>
  <c r="H51" i="3"/>
  <c r="H35" i="3"/>
  <c r="U23" i="3"/>
  <c r="D52" i="3"/>
  <c r="D53" i="3" s="1"/>
  <c r="H53" i="3" s="1"/>
  <c r="I51" i="3" s="1"/>
  <c r="D36" i="3"/>
  <c r="D37" i="3" s="1"/>
  <c r="H37" i="3" s="1"/>
  <c r="I35" i="3" s="1"/>
  <c r="G12" i="3"/>
  <c r="F12" i="3"/>
  <c r="E12" i="3"/>
  <c r="D12" i="3"/>
  <c r="AO198" i="3" l="1"/>
  <c r="I165" i="3"/>
  <c r="L166" i="3" s="1"/>
  <c r="I68" i="3"/>
  <c r="L69" i="3" s="1"/>
  <c r="I134" i="3"/>
  <c r="L135" i="3" s="1"/>
  <c r="AQ198" i="3"/>
  <c r="AM198" i="3"/>
  <c r="B197" i="3" s="1"/>
  <c r="B198" i="3" s="1"/>
  <c r="B199" i="3" s="1"/>
  <c r="AR181" i="3"/>
  <c r="G180" i="3" s="1"/>
  <c r="G181" i="3" s="1"/>
  <c r="G182" i="3" s="1"/>
  <c r="AP150" i="3"/>
  <c r="E149" i="3" s="1"/>
  <c r="E150" i="3" s="1"/>
  <c r="E151" i="3" s="1"/>
  <c r="B81" i="3"/>
  <c r="H81" i="3" s="1"/>
  <c r="H80" i="3"/>
  <c r="AM181" i="3"/>
  <c r="B180" i="3" s="1"/>
  <c r="B181" i="3" s="1"/>
  <c r="B182" i="3" s="1"/>
  <c r="AQ181" i="3"/>
  <c r="F180" i="3" s="1"/>
  <c r="F181" i="3" s="1"/>
  <c r="F182" i="3" s="1"/>
  <c r="AR118" i="3"/>
  <c r="G117" i="3" s="1"/>
  <c r="G118" i="3" s="1"/>
  <c r="G119" i="3" s="1"/>
  <c r="AM118" i="3"/>
  <c r="B117" i="3" s="1"/>
  <c r="B118" i="3" s="1"/>
  <c r="B119" i="3" s="1"/>
  <c r="AR150" i="3"/>
  <c r="G149" i="3" s="1"/>
  <c r="G150" i="3" s="1"/>
  <c r="G151" i="3" s="1"/>
  <c r="AM150" i="3"/>
  <c r="B149" i="3" s="1"/>
  <c r="B150" i="3" s="1"/>
  <c r="B151" i="3" s="1"/>
  <c r="AO181" i="3"/>
  <c r="D180" i="3" s="1"/>
  <c r="D181" i="3" s="1"/>
  <c r="D182" i="3" s="1"/>
  <c r="AP181" i="3"/>
  <c r="E180" i="3" s="1"/>
  <c r="E181" i="3" s="1"/>
  <c r="E182" i="3" s="1"/>
  <c r="AQ150" i="3"/>
  <c r="F149" i="3" s="1"/>
  <c r="F150" i="3" s="1"/>
  <c r="F151" i="3" s="1"/>
  <c r="AO150" i="3"/>
  <c r="D149" i="3" s="1"/>
  <c r="D150" i="3" s="1"/>
  <c r="D151" i="3" s="1"/>
  <c r="AP118" i="3"/>
  <c r="E117" i="3" s="1"/>
  <c r="E118" i="3" s="1"/>
  <c r="E119" i="3" s="1"/>
  <c r="AN96" i="3"/>
  <c r="H114" i="3"/>
  <c r="H177" i="3"/>
  <c r="H146" i="3"/>
  <c r="H36" i="3"/>
  <c r="H52" i="3"/>
  <c r="C28" i="9"/>
  <c r="C27" i="9"/>
  <c r="C26" i="9"/>
  <c r="C25" i="9"/>
  <c r="C24" i="9"/>
  <c r="H197" i="3" l="1"/>
  <c r="H198" i="3"/>
  <c r="I196" i="3" s="1"/>
  <c r="H199" i="3"/>
  <c r="I199" i="3" s="1"/>
  <c r="I201" i="3" s="1"/>
  <c r="L201" i="3" s="1"/>
  <c r="AN94" i="3"/>
  <c r="B43" i="3"/>
  <c r="B27" i="3"/>
  <c r="C22" i="9"/>
  <c r="C21" i="9"/>
  <c r="C17" i="9"/>
  <c r="C15" i="9"/>
  <c r="C16" i="9"/>
  <c r="C19" i="9"/>
  <c r="C18" i="9"/>
  <c r="C29" i="9"/>
  <c r="C32" i="9"/>
  <c r="C30" i="9"/>
  <c r="C31" i="9"/>
  <c r="C23" i="9"/>
  <c r="C20" i="9"/>
  <c r="F1" i="5"/>
  <c r="G1" i="5" s="1"/>
  <c r="H1" i="5" s="1"/>
  <c r="I1" i="5" s="1"/>
  <c r="J1" i="5" s="1"/>
  <c r="K1" i="5" s="1"/>
  <c r="L1" i="5" s="1"/>
  <c r="M1" i="5" s="1"/>
  <c r="N1" i="5" s="1"/>
  <c r="M24" i="5"/>
  <c r="I174" i="3" s="1"/>
  <c r="L24" i="5"/>
  <c r="K24" i="5"/>
  <c r="I143" i="3" s="1"/>
  <c r="J24" i="5"/>
  <c r="I94" i="3"/>
  <c r="G24" i="5"/>
  <c r="I111" i="3" s="1"/>
  <c r="I114" i="3" s="1"/>
  <c r="F24" i="5"/>
  <c r="M23" i="5"/>
  <c r="L23" i="5"/>
  <c r="K23" i="5"/>
  <c r="J23" i="5"/>
  <c r="G23" i="5"/>
  <c r="F23" i="5"/>
  <c r="B48" i="3" s="1"/>
  <c r="E24" i="5"/>
  <c r="E23" i="5"/>
  <c r="F130" i="3" l="1"/>
  <c r="F131" i="3" s="1"/>
  <c r="E130" i="3"/>
  <c r="E131" i="3" s="1"/>
  <c r="D130" i="3"/>
  <c r="D131" i="3" s="1"/>
  <c r="C130" i="3"/>
  <c r="C131" i="3" s="1"/>
  <c r="G130" i="3"/>
  <c r="G131" i="3" s="1"/>
  <c r="B130" i="3"/>
  <c r="F161" i="3"/>
  <c r="F162" i="3" s="1"/>
  <c r="C161" i="3"/>
  <c r="C162" i="3" s="1"/>
  <c r="G161" i="3"/>
  <c r="G162" i="3" s="1"/>
  <c r="E161" i="3"/>
  <c r="E162" i="3" s="1"/>
  <c r="D161" i="3"/>
  <c r="D162" i="3" s="1"/>
  <c r="B161" i="3"/>
  <c r="A43" i="3"/>
  <c r="C64" i="3"/>
  <c r="C65" i="3" s="1"/>
  <c r="E64" i="3"/>
  <c r="E65" i="3" s="1"/>
  <c r="D64" i="3"/>
  <c r="D65" i="3" s="1"/>
  <c r="G64" i="3"/>
  <c r="G65" i="3" s="1"/>
  <c r="F64" i="3"/>
  <c r="F65" i="3" s="1"/>
  <c r="B64" i="3"/>
  <c r="I78" i="3"/>
  <c r="C48" i="3"/>
  <c r="C49" i="3" s="1"/>
  <c r="F48" i="3"/>
  <c r="F49" i="3" s="1"/>
  <c r="D48" i="3"/>
  <c r="D49" i="3" s="1"/>
  <c r="G48" i="3"/>
  <c r="G49" i="3" s="1"/>
  <c r="E48" i="3"/>
  <c r="E49" i="3" s="1"/>
  <c r="H12" i="3"/>
  <c r="H2" i="3"/>
  <c r="J2" i="3" s="1"/>
  <c r="J12" i="3" s="1"/>
  <c r="I54" i="3" l="1"/>
  <c r="D22" i="18"/>
  <c r="J22" i="18"/>
  <c r="I22" i="18"/>
  <c r="H22" i="18"/>
  <c r="G22" i="18"/>
  <c r="F22" i="18"/>
  <c r="E22" i="18"/>
  <c r="B65" i="3"/>
  <c r="H65" i="3" s="1"/>
  <c r="H64" i="3"/>
  <c r="I62" i="3" s="1"/>
  <c r="I200" i="3"/>
  <c r="I202" i="3" s="1"/>
  <c r="C11" i="9" s="1"/>
  <c r="I194" i="3"/>
  <c r="H130" i="3"/>
  <c r="I128" i="3" s="1"/>
  <c r="B131" i="3"/>
  <c r="H131" i="3" s="1"/>
  <c r="H161" i="3"/>
  <c r="I159" i="3" s="1"/>
  <c r="B162" i="3"/>
  <c r="H162" i="3" s="1"/>
  <c r="B49" i="3"/>
  <c r="H49" i="3" s="1"/>
  <c r="H48" i="3"/>
  <c r="I46" i="3" s="1"/>
  <c r="I103" i="3"/>
  <c r="E32" i="3"/>
  <c r="E33" i="3" s="1"/>
  <c r="G32" i="3"/>
  <c r="G33" i="3" s="1"/>
  <c r="C32" i="3"/>
  <c r="D32" i="3"/>
  <c r="D33" i="3" s="1"/>
  <c r="B32" i="3"/>
  <c r="B33" i="3" s="1"/>
  <c r="F32" i="3"/>
  <c r="F33" i="3" s="1"/>
  <c r="H31" i="3"/>
  <c r="H30" i="3"/>
  <c r="H29" i="3"/>
  <c r="I29" i="3" s="1"/>
  <c r="I81" i="3" l="1"/>
  <c r="I183" i="3"/>
  <c r="I86" i="3"/>
  <c r="I152" i="3"/>
  <c r="C33" i="3"/>
  <c r="H33" i="3" s="1"/>
  <c r="AN178" i="3"/>
  <c r="AN181" i="3" s="1"/>
  <c r="C180" i="3" s="1"/>
  <c r="AN115" i="3"/>
  <c r="AN118" i="3" s="1"/>
  <c r="C117" i="3" s="1"/>
  <c r="AN147" i="3"/>
  <c r="AN150" i="3" s="1"/>
  <c r="C149" i="3" s="1"/>
  <c r="I38" i="3"/>
  <c r="I65" i="3"/>
  <c r="L65" i="3" s="1"/>
  <c r="I136" i="3"/>
  <c r="I49" i="3"/>
  <c r="I177" i="3"/>
  <c r="I162" i="3"/>
  <c r="I168" i="3" s="1"/>
  <c r="J168" i="3" s="1"/>
  <c r="I120" i="3"/>
  <c r="I131" i="3"/>
  <c r="L131" i="3" s="1"/>
  <c r="I97" i="3"/>
  <c r="I146" i="3"/>
  <c r="I70" i="3"/>
  <c r="I167" i="3"/>
  <c r="H32" i="3"/>
  <c r="I30" i="3" s="1"/>
  <c r="I33" i="3" s="1"/>
  <c r="L33" i="3" s="1"/>
  <c r="L49" i="3" l="1"/>
  <c r="I55" i="3"/>
  <c r="I56" i="3" s="1"/>
  <c r="C2" i="9" s="1"/>
  <c r="A59" i="3"/>
  <c r="L81" i="3"/>
  <c r="I87" i="3"/>
  <c r="J87" i="3" s="1"/>
  <c r="I137" i="3"/>
  <c r="J137" i="3" s="1"/>
  <c r="C150" i="3"/>
  <c r="H149" i="3"/>
  <c r="C118" i="3"/>
  <c r="H117" i="3"/>
  <c r="C181" i="3"/>
  <c r="H180" i="3"/>
  <c r="I71" i="3"/>
  <c r="I169" i="3"/>
  <c r="I39" i="3"/>
  <c r="I138" i="3" l="1"/>
  <c r="A75" i="3"/>
  <c r="I88" i="3"/>
  <c r="C6" i="9"/>
  <c r="C182" i="3"/>
  <c r="H182" i="3" s="1"/>
  <c r="I182" i="3" s="1"/>
  <c r="H181" i="3"/>
  <c r="I179" i="3" s="1"/>
  <c r="C151" i="3"/>
  <c r="H151" i="3" s="1"/>
  <c r="I151" i="3" s="1"/>
  <c r="I153" i="3" s="1"/>
  <c r="H150" i="3"/>
  <c r="I148" i="3" s="1"/>
  <c r="C119" i="3"/>
  <c r="H119" i="3" s="1"/>
  <c r="I119" i="3" s="1"/>
  <c r="H118" i="3"/>
  <c r="I116" i="3" s="1"/>
  <c r="I40" i="3"/>
  <c r="C7" i="9" s="1"/>
  <c r="J39" i="3"/>
  <c r="J55" i="3"/>
  <c r="I72" i="3"/>
  <c r="C3" i="9" s="1"/>
  <c r="J71" i="3"/>
  <c r="F23" i="18" l="1"/>
  <c r="F24" i="18" s="1"/>
  <c r="F58" i="18" s="1"/>
  <c r="C5" i="9"/>
  <c r="J23" i="18" s="1"/>
  <c r="J24" i="18" s="1"/>
  <c r="J58" i="18" s="1"/>
  <c r="C4" i="9"/>
  <c r="G23" i="18" s="1"/>
  <c r="G24" i="18" s="1"/>
  <c r="G58" i="18" s="1"/>
  <c r="G26" i="18" s="1"/>
  <c r="A91" i="3"/>
  <c r="A108" i="3"/>
  <c r="I184" i="3"/>
  <c r="I185" i="3" s="1"/>
  <c r="C10" i="9" s="1"/>
  <c r="I121" i="3"/>
  <c r="E23" i="18" l="1"/>
  <c r="G27" i="18"/>
  <c r="H23" i="18"/>
  <c r="H24" i="18" s="1"/>
  <c r="H58" i="18" s="1"/>
  <c r="I23" i="18"/>
  <c r="I24" i="18" s="1"/>
  <c r="I58" i="18" s="1"/>
  <c r="F27" i="18"/>
  <c r="F26" i="18"/>
  <c r="J27" i="18"/>
  <c r="J26" i="18"/>
  <c r="A125" i="3"/>
  <c r="L153" i="3"/>
  <c r="I154" i="3"/>
  <c r="L121" i="3"/>
  <c r="I122" i="3"/>
  <c r="C8" i="9" s="1"/>
  <c r="D23" i="18" s="1"/>
  <c r="D24" i="18" s="1"/>
  <c r="D58" i="18" s="1"/>
  <c r="D27" i="18" s="1"/>
  <c r="L184" i="3"/>
  <c r="D26" i="18" l="1"/>
  <c r="I27" i="18"/>
  <c r="I26" i="18"/>
  <c r="H27" i="18"/>
  <c r="H26" i="18"/>
  <c r="C9" i="9"/>
  <c r="AN98" i="3"/>
  <c r="AN95" i="3"/>
  <c r="AM101" i="3"/>
  <c r="B100" i="3" s="1"/>
  <c r="H100" i="3" s="1"/>
  <c r="A140" i="3" l="1"/>
  <c r="B101" i="3"/>
  <c r="H101" i="3" s="1"/>
  <c r="I99" i="3" s="1"/>
  <c r="A156" i="3" l="1"/>
  <c r="B102" i="3"/>
  <c r="H102" i="3" s="1"/>
  <c r="I102" i="3" s="1"/>
  <c r="I104" i="3" s="1"/>
  <c r="I105" i="3" s="1"/>
  <c r="E24" i="18" l="1"/>
  <c r="E58" i="18" s="1"/>
  <c r="A171" i="3"/>
  <c r="L104" i="3"/>
  <c r="E26" i="18" l="1"/>
  <c r="C26" i="18" s="1"/>
  <c r="E27" i="18"/>
  <c r="B27" i="18" s="1"/>
</calcChain>
</file>

<file path=xl/sharedStrings.xml><?xml version="1.0" encoding="utf-8"?>
<sst xmlns="http://schemas.openxmlformats.org/spreadsheetml/2006/main" count="778" uniqueCount="216">
  <si>
    <t>Employee</t>
  </si>
  <si>
    <t>Spouse/ RDP</t>
  </si>
  <si>
    <t>Child 1</t>
  </si>
  <si>
    <t>Child 2</t>
  </si>
  <si>
    <t>Child 3</t>
  </si>
  <si>
    <t>Child 4</t>
  </si>
  <si>
    <t>Yes</t>
  </si>
  <si>
    <t>No</t>
  </si>
  <si>
    <t>Deductible</t>
  </si>
  <si>
    <t>Co-payments</t>
  </si>
  <si>
    <t>Co-insurance</t>
  </si>
  <si>
    <t>Estimated medical claims</t>
  </si>
  <si>
    <t>Individual OOP</t>
  </si>
  <si>
    <t>Individual Max OOP</t>
  </si>
  <si>
    <t>Sum of Individuals</t>
  </si>
  <si>
    <t>If your district's monthly cap is greater than your elected contribution, may you choose 'cash-in-lieu' for the difference?</t>
  </si>
  <si>
    <t>Menu</t>
  </si>
  <si>
    <t>Butte College</t>
  </si>
  <si>
    <t>BCOE all other</t>
  </si>
  <si>
    <t>Chico all other</t>
  </si>
  <si>
    <t>Manzanita</t>
  </si>
  <si>
    <t>BCOE CSEA</t>
  </si>
  <si>
    <t>Chico CSEA</t>
  </si>
  <si>
    <t>BCOE BCTA</t>
  </si>
  <si>
    <t>Chico CUTA</t>
  </si>
  <si>
    <t>Oroville Union High</t>
  </si>
  <si>
    <t>Pioneer</t>
  </si>
  <si>
    <t>Select the district (and unit if listed) through which your medical benefits are provided.</t>
  </si>
  <si>
    <t xml:space="preserve">How much will your district contribute monthly (on a 12-month basis) towards your medical plan election?  If you are part-time, be sure to enter the pro-rated monthly contribution made by your district on a 12-month basis.  </t>
  </si>
  <si>
    <t>Plan 1</t>
  </si>
  <si>
    <t>Plan 2</t>
  </si>
  <si>
    <t>Plan 3</t>
  </si>
  <si>
    <t>Plan 4</t>
  </si>
  <si>
    <t>Plan 5</t>
  </si>
  <si>
    <t>Plan 6</t>
  </si>
  <si>
    <t>Plan 7</t>
  </si>
  <si>
    <t>a</t>
  </si>
  <si>
    <t>b</t>
  </si>
  <si>
    <t>c</t>
  </si>
  <si>
    <t>d</t>
  </si>
  <si>
    <t>e</t>
  </si>
  <si>
    <t>f</t>
  </si>
  <si>
    <t>ACR2</t>
  </si>
  <si>
    <t>Active Composite</t>
  </si>
  <si>
    <t>Retiree Single</t>
  </si>
  <si>
    <t>Retiree Family</t>
  </si>
  <si>
    <t>A3R2</t>
  </si>
  <si>
    <t>Active Single</t>
  </si>
  <si>
    <t>Active 2-Party</t>
  </si>
  <si>
    <t>Active Family</t>
  </si>
  <si>
    <t>BACR3</t>
  </si>
  <si>
    <t>Retiree 2-Party</t>
  </si>
  <si>
    <t>B3</t>
  </si>
  <si>
    <t>Single</t>
  </si>
  <si>
    <t>2-Party</t>
  </si>
  <si>
    <t>Family</t>
  </si>
  <si>
    <t>MEDICAL</t>
  </si>
  <si>
    <t>HWC Office Visit</t>
  </si>
  <si>
    <t>Office Visit Copay</t>
  </si>
  <si>
    <t>Labs, Scans and Diagnostics</t>
  </si>
  <si>
    <t>Hospitalization</t>
  </si>
  <si>
    <t>MD Live</t>
  </si>
  <si>
    <t>Total family covered</t>
  </si>
  <si>
    <t>Unit Cost</t>
  </si>
  <si>
    <t>OOP Max Individual</t>
  </si>
  <si>
    <t>OOP Max Family</t>
  </si>
  <si>
    <t>Deductible Individual</t>
  </si>
  <si>
    <t>Deductible Family</t>
  </si>
  <si>
    <t>OOP individual</t>
  </si>
  <si>
    <t>OOP family</t>
  </si>
  <si>
    <t>ER ($100 waived if admitted)</t>
  </si>
  <si>
    <t>Chiropractic / Acupuncture 
(limits apply)</t>
  </si>
  <si>
    <r>
      <t xml:space="preserve">Services </t>
    </r>
    <r>
      <rPr>
        <sz val="12"/>
        <rFont val="Arial Narrow"/>
        <family val="2"/>
      </rPr>
      <t>(copays and insurance apply after deductible unless otherwise noted)</t>
    </r>
  </si>
  <si>
    <t>Palermo PTA</t>
  </si>
  <si>
    <t>Are the following covered under your plan?  If you are on a tiered rate plan, your rate will reflect the tier to cover those listed here.</t>
  </si>
  <si>
    <t>Retiree</t>
  </si>
  <si>
    <t>Are you covered as an employee or retiree?</t>
  </si>
  <si>
    <t>Rate structure</t>
  </si>
  <si>
    <t>Elected Tier</t>
  </si>
  <si>
    <t>Composite</t>
  </si>
  <si>
    <t>Name</t>
  </si>
  <si>
    <t>Column</t>
  </si>
  <si>
    <t>Row</t>
  </si>
  <si>
    <t>Employee1</t>
  </si>
  <si>
    <t>Employee2</t>
  </si>
  <si>
    <t>Employee3</t>
  </si>
  <si>
    <t>Employee Composite</t>
  </si>
  <si>
    <t>Employee Single</t>
  </si>
  <si>
    <t>Employee 2-Party</t>
  </si>
  <si>
    <t>Employee Family</t>
  </si>
  <si>
    <t>Estimated claim payments made by BSSP/SISC</t>
  </si>
  <si>
    <t>g</t>
  </si>
  <si>
    <t>Total Cost</t>
  </si>
  <si>
    <t>Family Limits</t>
  </si>
  <si>
    <t>Claim Payments</t>
  </si>
  <si>
    <t>Biggs BUTA and Other</t>
  </si>
  <si>
    <t>Inspire</t>
  </si>
  <si>
    <t>Durham</t>
  </si>
  <si>
    <t>Golden Feather Certificated</t>
  </si>
  <si>
    <t>Golden Feather Classified</t>
  </si>
  <si>
    <t>Oroville City OETA and Other</t>
  </si>
  <si>
    <t>Oroville City CSEA</t>
  </si>
  <si>
    <t>Palermo CSEA and Other</t>
  </si>
  <si>
    <t>Paradise</t>
  </si>
  <si>
    <t>Use drop down menu for your selection</t>
  </si>
  <si>
    <t>Premium</t>
  </si>
  <si>
    <t>i</t>
  </si>
  <si>
    <t>Generic maintenance filled at Costco (mail order or retail)</t>
  </si>
  <si>
    <t>Generic filled at Costco (up to 30 day supply for an acute/episodic illness)</t>
  </si>
  <si>
    <t>Brand filled at a retail pharmacy other than Walgreen's (up to 30-day supply for an acute/episodic illness)</t>
  </si>
  <si>
    <t>Generic maintenance filled at a retail pharmacy other than Walgreen's</t>
  </si>
  <si>
    <t>Total</t>
  </si>
  <si>
    <t>Total Claims</t>
  </si>
  <si>
    <t>Generic filled at a retail pharmacy other than Walgreen's (up to 30 day supply for an acute/episodic illness)</t>
  </si>
  <si>
    <t>Cost</t>
  </si>
  <si>
    <t>Copays $7 $0 $25</t>
  </si>
  <si>
    <t>Copays $10 $200 $35</t>
  </si>
  <si>
    <t>Biggs CSEA and Confidential</t>
  </si>
  <si>
    <t>PRESCRIPTION</t>
  </si>
  <si>
    <t>h</t>
  </si>
  <si>
    <t>Individual deductible (brand)</t>
  </si>
  <si>
    <t>Family deductible (brand)</t>
  </si>
  <si>
    <t>Costco or Mail up to 90# generic</t>
  </si>
  <si>
    <t>Costco or Mail up to 90# brand</t>
  </si>
  <si>
    <t>Retail 30#</t>
  </si>
  <si>
    <t>Brand and specialty retail or mail</t>
  </si>
  <si>
    <t>Unit cost</t>
  </si>
  <si>
    <t>Copays 7-0-25</t>
  </si>
  <si>
    <t>Copays '10-200-35</t>
  </si>
  <si>
    <t>Total estimated OOP costs - MEDICAL</t>
  </si>
  <si>
    <t>Total estimated OOP costs - RX</t>
  </si>
  <si>
    <t>Total costs</t>
  </si>
  <si>
    <t>Member payments</t>
  </si>
  <si>
    <t>Plan payments</t>
  </si>
  <si>
    <t>Estimate the number of medical claims each member of your family will have during the plan year.  Include only services of a network provider; services by a non-network provider to not accumulate towards your out of pocket limits.</t>
  </si>
  <si>
    <t>Preventive (wellness, physical, routine, etc.) exams</t>
  </si>
  <si>
    <r>
      <t>Office visits to the Health and Wellness Center due to illness, injury or disease management</t>
    </r>
    <r>
      <rPr>
        <i/>
        <sz val="16"/>
        <rFont val="Arial Narrow"/>
        <family val="2"/>
      </rPr>
      <t>; not available on Kaiser plans</t>
    </r>
  </si>
  <si>
    <t>Emergency room visits (without  in-patient admission)</t>
  </si>
  <si>
    <t>Inpatient hospital admissions (separate admissions, not days hospitalized)</t>
  </si>
  <si>
    <r>
      <t xml:space="preserve">Surgeries contracted with Carrum Health (hip/knee replacement or spinal fusion -- at Carrum facility, only); </t>
    </r>
    <r>
      <rPr>
        <i/>
        <sz val="16"/>
        <rFont val="Arial Narrow"/>
        <family val="2"/>
      </rPr>
      <t>not available on Kaiser plans</t>
    </r>
  </si>
  <si>
    <r>
      <t xml:space="preserve">Other services not listed above; </t>
    </r>
    <r>
      <rPr>
        <i/>
        <sz val="16"/>
        <rFont val="Arial Narrow"/>
        <family val="2"/>
      </rPr>
      <t>estimate total network charges via Estimate Your Cost at www.anthem.com/ca/sisc or by review of prior years' Explanations of Benefits</t>
    </r>
  </si>
  <si>
    <t>Physical, occupational, speech, chiropractic or acupuncture therapy visits</t>
  </si>
  <si>
    <t>n/a</t>
  </si>
  <si>
    <t>Estimate the number of prescriptions below (list prescriptions, not refills).  HWC dispensary items are not included as they do not apply to your plan limits.</t>
  </si>
  <si>
    <t>Total Medical Claims</t>
  </si>
  <si>
    <t>This tool estimates the following network cost of service:</t>
  </si>
  <si>
    <t>Scenario description:</t>
  </si>
  <si>
    <t>Based upon the information input, below is an estimate your costs (out of pocket contributions and medical costs, net of any cash-in-lieu credits) on each of the Anthem plan available to you.  This tool is intended only to illustrate differences between your plan options given the scenario of claims input above.  Your actual out of pocket medical costs may vary based on the actual network rate of services incurred and cost of prescriptions dispensed during the plan year.</t>
  </si>
  <si>
    <t>HSA assumes all services with copay apply to deductible, only.</t>
  </si>
  <si>
    <t>Copays HSA</t>
  </si>
  <si>
    <t>Frequency</t>
  </si>
  <si>
    <t>Brand maintenance filled via Costco (mail order or retail)</t>
  </si>
  <si>
    <t>Brand maintenance filled at a retail pharmacy other than Walgreen's</t>
  </si>
  <si>
    <t xml:space="preserve">Copays HSA </t>
  </si>
  <si>
    <t>Accumulation</t>
  </si>
  <si>
    <t>Chico Country Day School</t>
  </si>
  <si>
    <t>single</t>
  </si>
  <si>
    <t>A3</t>
  </si>
  <si>
    <t>acr2</t>
  </si>
  <si>
    <t>PAYCHECK DEDUCTION (Cost of Coverage)</t>
  </si>
  <si>
    <t>these cells have individual deductible at 2800; edit annually as needed.</t>
  </si>
  <si>
    <t>Other office visits (specialists, urgent care, mental health provider) due to illness, injury or disease management</t>
  </si>
  <si>
    <t>j</t>
  </si>
  <si>
    <t>first 3 primary care are $0 on non-HAS plans</t>
  </si>
  <si>
    <t>Primary care office visits (excluding HWC visits on line b, above)</t>
  </si>
  <si>
    <t>Expected Case:  As Input</t>
  </si>
  <si>
    <t>FSA, HSA or CHECKBOOK EXPENSE
 (Estimated Out of Pocket for Med+RX)</t>
  </si>
  <si>
    <r>
      <rPr>
        <b/>
        <u/>
        <sz val="16"/>
        <rFont val="Arial Narrow"/>
        <family val="2"/>
      </rPr>
      <t>Net Cost</t>
    </r>
    <r>
      <rPr>
        <b/>
        <sz val="16"/>
        <rFont val="Arial Narrow"/>
        <family val="2"/>
      </rPr>
      <t>:</t>
    </r>
    <r>
      <rPr>
        <sz val="16"/>
        <rFont val="Arial Narrow"/>
        <family val="2"/>
      </rPr>
      <t xml:space="preserve">  Your estimated out of pocket costs for medical services and prescriptions plus your share of premiums after your employer's contribution.</t>
    </r>
  </si>
  <si>
    <r>
      <rPr>
        <b/>
        <u/>
        <sz val="16"/>
        <rFont val="Arial Narrow"/>
        <family val="2"/>
      </rPr>
      <t>Net Savings</t>
    </r>
    <r>
      <rPr>
        <b/>
        <sz val="16"/>
        <rFont val="Arial Narrow"/>
        <family val="2"/>
      </rPr>
      <t>:</t>
    </r>
    <r>
      <rPr>
        <sz val="16"/>
        <rFont val="Arial Narrow"/>
        <family val="2"/>
      </rPr>
      <t xml:space="preserve">  Your cash in lieu remaining after out of pocket costs for medical services and prescriptions.  Cash in lieu is available only when provided under your employment contract.</t>
    </r>
  </si>
  <si>
    <t>Bangor</t>
  </si>
  <si>
    <t>HSA $1500</t>
  </si>
  <si>
    <t>HSA $3000</t>
  </si>
  <si>
    <t>HSA $5000</t>
  </si>
  <si>
    <t>BSSP</t>
  </si>
  <si>
    <t>Gridley</t>
  </si>
  <si>
    <t>80% G $30</t>
  </si>
  <si>
    <t>90% G $20</t>
  </si>
  <si>
    <t>90% G $30</t>
  </si>
  <si>
    <t>80% J $30</t>
  </si>
  <si>
    <t>80% L $30</t>
  </si>
  <si>
    <t>80% M $40</t>
  </si>
  <si>
    <t>80% K $30</t>
  </si>
  <si>
    <t>2023 Plans</t>
  </si>
  <si>
    <t>MEC $9000</t>
  </si>
  <si>
    <t>10</t>
  </si>
  <si>
    <t>Input your information into the yellow cells.  Based on your input below and general assumptions regarding the average cost of services, the "Results" tab illustrates your estimated costs for coverage and services under combination of plans you have selected.  You are encouraged to run multiple scenarios, perhaps (1) based on typical usage; (2) a best-case scenario of claims and (3) a worst-case scenario easily illustrated by giving 1 or more people a surgical event.  Then consider the financial impact of each scenario and how you will pay your share of costs under each.</t>
  </si>
  <si>
    <t>Indicate which plan each spouse/RDP may choose as primary coverage.</t>
  </si>
  <si>
    <t>Scenario 1</t>
  </si>
  <si>
    <t>Scenario 2</t>
  </si>
  <si>
    <t>Scenario 3</t>
  </si>
  <si>
    <t>Scenario 4</t>
  </si>
  <si>
    <t>Scenario 5</t>
  </si>
  <si>
    <t>Scenario 6</t>
  </si>
  <si>
    <t>Scenario 7</t>
  </si>
  <si>
    <t>Spouse/RDP 1</t>
  </si>
  <si>
    <t>Spouse/RDP 2</t>
  </si>
  <si>
    <t>Spouse/
RDP 1</t>
  </si>
  <si>
    <t>Spouse/
RDP 2</t>
  </si>
  <si>
    <t>Telemedicine medical visits (MD Live)</t>
  </si>
  <si>
    <t>Spouse / RDP 1</t>
  </si>
  <si>
    <t>Plan</t>
  </si>
  <si>
    <t>Employer Contribution</t>
  </si>
  <si>
    <t>Spouse / RDP 2</t>
  </si>
  <si>
    <t>`</t>
  </si>
  <si>
    <r>
      <rPr>
        <b/>
        <i/>
        <sz val="20"/>
        <rFont val="Arial Narrow"/>
        <family val="2"/>
      </rPr>
      <t xml:space="preserve">This is not a determination of benefits </t>
    </r>
    <r>
      <rPr>
        <i/>
        <sz val="20"/>
        <rFont val="Arial Narrow"/>
        <family val="2"/>
      </rPr>
      <t>but is designed to provide the user with an estimate of the out of pocket medical costs (including contributions and net of cash-in-lieu savings) which may be incurred during the 12-month period of coverage based user-input information.  Please see your summary plan description for benefit details and determination.</t>
    </r>
  </si>
  <si>
    <t>Plans</t>
  </si>
  <si>
    <t>Best Case:  Preventive Care, only</t>
  </si>
  <si>
    <t>Claims:  best case</t>
  </si>
  <si>
    <t>Payments:  best case</t>
  </si>
  <si>
    <t>WORST OOP Max</t>
  </si>
  <si>
    <t>Net Employee Cost</t>
  </si>
  <si>
    <t>Worst Case:  Maximum Out of Pocket Reached</t>
  </si>
  <si>
    <t/>
  </si>
  <si>
    <t>Column2</t>
  </si>
  <si>
    <t>Patterson</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</si>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</sst>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
    <numFmt numFmtId="167" formatCode="_(&quot;$&quot;\ #,##0_);_(&quot;$&quot;\ \(#,##0\);;"/>
    <numFmt numFmtId="168" formatCode="_(* #,##0_);_(* \(#,##0\);;"/>
  </numFmts>
  <fonts count="42" x14ac:knownFonts="1">
    <font>
      <sz val="12"/>
      <name val="Arial Narrow"/>
    </font>
    <font>
      <sz val="12"/>
      <name val="Arial Narrow"/>
      <family val="2"/>
    </font>
    <font>
      <sz val="8"/>
      <name val="Arial Narrow"/>
      <family val="2"/>
    </font>
    <font>
      <b/>
      <sz val="12"/>
      <name val="Arial Narrow"/>
      <family val="2"/>
    </font>
    <font>
      <b/>
      <u val="singleAccounting"/>
      <sz val="12"/>
      <name val="Arial Narrow"/>
      <family val="2"/>
    </font>
    <font>
      <sz val="12"/>
      <name val="Arial Narrow"/>
      <family val="2"/>
    </font>
    <font>
      <sz val="12"/>
      <name val="Arial Narrow"/>
      <family val="2"/>
    </font>
    <font>
      <b/>
      <sz val="16"/>
      <name val="Arial Narrow"/>
      <family val="2"/>
    </font>
    <font>
      <sz val="16"/>
      <name val="Arial Narrow"/>
      <family val="2"/>
    </font>
    <font>
      <b/>
      <sz val="14"/>
      <name val="Arial Narrow"/>
      <family val="2"/>
    </font>
    <font>
      <sz val="14"/>
      <name val="Arial Narrow"/>
      <family val="2"/>
    </font>
    <font>
      <b/>
      <u val="singleAccounting"/>
      <sz val="14"/>
      <color indexed="12"/>
      <name val="Arial Narrow"/>
      <family val="2"/>
    </font>
    <font>
      <b/>
      <sz val="12"/>
      <color rgb="FFFF0000"/>
      <name val="Arial Narrow"/>
      <family val="2"/>
    </font>
    <font>
      <sz val="12"/>
      <color rgb="FFFF0000"/>
      <name val="Arial Narrow"/>
      <family val="2"/>
    </font>
    <font>
      <sz val="16"/>
      <color rgb="FFFF0000"/>
      <name val="Arial Narrow"/>
      <family val="2"/>
    </font>
    <font>
      <b/>
      <sz val="12"/>
      <color theme="0"/>
      <name val="Arial Narrow"/>
      <family val="2"/>
    </font>
    <font>
      <sz val="11"/>
      <name val="Arial Narrow"/>
      <family val="2"/>
    </font>
    <font>
      <b/>
      <u val="singleAccounting"/>
      <sz val="16"/>
      <name val="Arial Narrow"/>
      <family val="2"/>
    </font>
    <font>
      <i/>
      <sz val="20"/>
      <name val="Arial Narrow"/>
      <family val="2"/>
    </font>
    <font>
      <b/>
      <i/>
      <sz val="20"/>
      <name val="Arial Narrow"/>
      <family val="2"/>
    </font>
    <font>
      <i/>
      <sz val="16"/>
      <name val="Arial Narrow"/>
      <family val="2"/>
    </font>
    <font>
      <sz val="10"/>
      <color theme="1"/>
      <name val="Arial Narrow"/>
      <family val="2"/>
    </font>
    <font>
      <b/>
      <sz val="19"/>
      <name val="Arial Narrow"/>
      <family val="2"/>
    </font>
    <font>
      <b/>
      <sz val="19"/>
      <color rgb="FFFF0000"/>
      <name val="Arial Narrow"/>
      <family val="2"/>
    </font>
    <font>
      <b/>
      <u val="singleAccounting"/>
      <sz val="14"/>
      <name val="Arial Narrow"/>
      <family val="2"/>
    </font>
    <font>
      <sz val="18"/>
      <name val="Arial Narrow"/>
      <family val="2"/>
    </font>
    <font>
      <u val="singleAccounting"/>
      <sz val="18"/>
      <name val="Arial Narrow"/>
      <family val="2"/>
    </font>
    <font>
      <b/>
      <sz val="18"/>
      <name val="Arial Narrow"/>
      <family val="2"/>
    </font>
    <font>
      <sz val="16.5"/>
      <name val="Arial Narrow"/>
      <family val="2"/>
    </font>
    <font>
      <b/>
      <sz val="16.5"/>
      <name val="Arial Narrow"/>
      <family val="2"/>
    </font>
    <font>
      <b/>
      <u val="doubleAccounting"/>
      <sz val="18"/>
      <name val="Arial Narrow"/>
      <family val="2"/>
    </font>
    <font>
      <b/>
      <u val="singleAccounting"/>
      <sz val="18"/>
      <name val="Arial Narrow"/>
      <family val="2"/>
    </font>
    <font>
      <b/>
      <u/>
      <sz val="16"/>
      <name val="Arial Narrow"/>
      <family val="2"/>
    </font>
    <font>
      <sz val="12"/>
      <name val="Arial Narrow"/>
      <family val="2"/>
    </font>
    <font>
      <b/>
      <i/>
      <sz val="10"/>
      <color theme="9" tint="-0.249977111117893"/>
      <name val="Arial Narrow"/>
      <family val="2"/>
    </font>
    <font>
      <b/>
      <i/>
      <sz val="8"/>
      <color theme="9" tint="-0.249977111117893"/>
      <name val="Arial Narrow"/>
      <family val="2"/>
    </font>
    <font>
      <b/>
      <sz val="15"/>
      <name val="Arial Narrow"/>
      <family val="2"/>
    </font>
    <font>
      <b/>
      <sz val="19.5"/>
      <name val="Arial Narrow"/>
      <family val="2"/>
    </font>
    <font>
      <b/>
      <sz val="16.5"/>
      <color rgb="FF006600"/>
      <name val="Arial Narrow"/>
      <family val="2"/>
    </font>
    <font>
      <b/>
      <u val="singleAccounting"/>
      <sz val="18"/>
      <color rgb="FF006600"/>
      <name val="Arial Narrow"/>
      <family val="2"/>
    </font>
    <font>
      <sz val="18"/>
      <color theme="1" tint="0.499984740745262"/>
      <name val="Calibri"/>
      <family val="2"/>
      <scheme val="minor"/>
    </font>
    <font>
      <sz val="18"/>
      <name val="Calibri"/>
      <family val="2"/>
      <scheme val="minor"/>
    </font>
  </fonts>
  <fills count="16">
    <fill>
      <patternFill patternType="none"/>
    </fill>
    <fill>
      <patternFill patternType="gray125"/>
    </fill>
    <fill>
      <patternFill patternType="solid">
        <fgColor indexed="43"/>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rgb="FF0033CC"/>
        <bgColor indexed="64"/>
      </patternFill>
    </fill>
    <fill>
      <patternFill patternType="solid">
        <fgColor rgb="FFFFFF99"/>
        <bgColor indexed="64"/>
      </patternFill>
    </fill>
    <fill>
      <patternFill patternType="solid">
        <fgColor rgb="FF92D050"/>
        <bgColor indexed="64"/>
      </patternFill>
    </fill>
    <fill>
      <patternFill patternType="solid">
        <fgColor rgb="FFFFC000"/>
        <bgColor indexed="64"/>
      </patternFill>
    </fill>
    <fill>
      <patternFill patternType="solid">
        <fgColor theme="0" tint="-0.499984740745262"/>
        <bgColor indexed="64"/>
      </patternFill>
    </fill>
    <fill>
      <patternFill patternType="solid">
        <fgColor theme="7" tint="0.79998168889431442"/>
        <bgColor indexed="64"/>
      </patternFill>
    </fill>
    <fill>
      <patternFill patternType="solid">
        <fgColor rgb="FFFFFF66"/>
        <bgColor indexed="64"/>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medium">
        <color indexed="64"/>
      </left>
      <right/>
      <top style="dashed">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top style="dashed">
        <color indexed="64"/>
      </top>
      <bottom style="medium">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top style="dotted">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auto="1"/>
      </right>
      <top/>
      <bottom style="dashed">
        <color indexed="64"/>
      </bottom>
      <diagonal/>
    </border>
    <border>
      <left style="thin">
        <color auto="1"/>
      </left>
      <right style="thin">
        <color auto="1"/>
      </right>
      <top/>
      <bottom style="dashed">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33" fillId="0" borderId="0" applyFont="0" applyFill="0" applyBorder="0" applyAlignment="0" applyProtection="0"/>
    <xf numFmtId="0" fontId="1" fillId="0" borderId="0"/>
  </cellStyleXfs>
  <cellXfs count="424">
    <xf numFmtId="0" fontId="0" fillId="0" borderId="0" xfId="0"/>
    <xf numFmtId="49" fontId="0" fillId="0" borderId="0" xfId="0" applyNumberFormat="1" applyAlignment="1">
      <alignment horizontal="left" wrapText="1"/>
    </xf>
    <xf numFmtId="43" fontId="3" fillId="0" borderId="1" xfId="1" applyFont="1" applyBorder="1" applyAlignment="1" applyProtection="1">
      <alignment horizontal="right" wrapText="1"/>
    </xf>
    <xf numFmtId="43" fontId="4" fillId="0" borderId="0" xfId="1" applyFont="1" applyAlignment="1" applyProtection="1">
      <alignment horizontal="right"/>
    </xf>
    <xf numFmtId="49" fontId="0" fillId="0" borderId="0" xfId="0" applyNumberFormat="1" applyAlignment="1">
      <alignment horizontal="left" wrapText="1" indent="2"/>
    </xf>
    <xf numFmtId="165" fontId="1" fillId="0" borderId="0" xfId="1" applyNumberFormat="1" applyFont="1" applyProtection="1"/>
    <xf numFmtId="49" fontId="5" fillId="0" borderId="0" xfId="0" applyNumberFormat="1" applyFont="1" applyAlignment="1">
      <alignment horizontal="left" wrapText="1" indent="2"/>
    </xf>
    <xf numFmtId="43" fontId="4" fillId="0" borderId="0" xfId="1" applyFont="1" applyBorder="1" applyAlignment="1" applyProtection="1">
      <alignment wrapText="1"/>
    </xf>
    <xf numFmtId="0" fontId="10" fillId="0" borderId="0" xfId="0" applyFont="1"/>
    <xf numFmtId="43" fontId="4" fillId="3" borderId="5" xfId="1" applyFont="1" applyFill="1" applyBorder="1" applyAlignment="1" applyProtection="1">
      <alignment horizontal="right" wrapText="1"/>
    </xf>
    <xf numFmtId="43" fontId="4" fillId="3" borderId="8" xfId="1" applyFont="1" applyFill="1" applyBorder="1" applyAlignment="1" applyProtection="1">
      <alignment horizontal="right" wrapText="1"/>
    </xf>
    <xf numFmtId="165" fontId="1" fillId="3" borderId="9" xfId="1" applyNumberFormat="1" applyFont="1" applyFill="1" applyBorder="1" applyProtection="1"/>
    <xf numFmtId="165" fontId="1" fillId="3" borderId="1" xfId="1" applyNumberFormat="1" applyFont="1" applyFill="1" applyBorder="1" applyProtection="1"/>
    <xf numFmtId="165" fontId="1" fillId="3" borderId="10" xfId="1" applyNumberFormat="1" applyFont="1" applyFill="1" applyBorder="1" applyProtection="1"/>
    <xf numFmtId="165" fontId="1" fillId="3" borderId="11" xfId="1" applyNumberFormat="1" applyFont="1" applyFill="1" applyBorder="1" applyProtection="1"/>
    <xf numFmtId="165" fontId="1" fillId="3" borderId="12" xfId="1" applyNumberFormat="1" applyFont="1" applyFill="1" applyBorder="1" applyProtection="1"/>
    <xf numFmtId="165" fontId="1" fillId="3" borderId="13" xfId="1" applyNumberFormat="1" applyFont="1" applyFill="1" applyBorder="1" applyProtection="1"/>
    <xf numFmtId="165" fontId="6" fillId="3" borderId="9" xfId="1" applyNumberFormat="1" applyFont="1" applyFill="1" applyBorder="1" applyProtection="1"/>
    <xf numFmtId="165" fontId="6" fillId="3" borderId="1" xfId="1" applyNumberFormat="1" applyFont="1" applyFill="1" applyBorder="1" applyProtection="1"/>
    <xf numFmtId="165" fontId="1" fillId="3" borderId="17" xfId="1" applyNumberFormat="1" applyFont="1" applyFill="1" applyBorder="1" applyProtection="1"/>
    <xf numFmtId="0" fontId="1" fillId="0" borderId="0" xfId="0" applyFont="1"/>
    <xf numFmtId="0" fontId="1" fillId="0" borderId="0" xfId="0" applyFont="1" applyAlignment="1">
      <alignment wrapText="1"/>
    </xf>
    <xf numFmtId="0" fontId="3" fillId="0" borderId="0" xfId="0" applyFont="1" applyAlignment="1">
      <alignment horizontal="center"/>
    </xf>
    <xf numFmtId="0" fontId="3" fillId="0" borderId="0" xfId="0" applyFont="1" applyAlignment="1">
      <alignment horizontal="right" wrapText="1"/>
    </xf>
    <xf numFmtId="0" fontId="3" fillId="4" borderId="20" xfId="0" applyFont="1" applyFill="1" applyBorder="1" applyAlignment="1">
      <alignment horizontal="center" wrapText="1"/>
    </xf>
    <xf numFmtId="0" fontId="3" fillId="4" borderId="21" xfId="0" applyFont="1" applyFill="1" applyBorder="1" applyAlignment="1">
      <alignment horizontal="center" wrapText="1"/>
    </xf>
    <xf numFmtId="0" fontId="3" fillId="4" borderId="22" xfId="0" applyFont="1" applyFill="1" applyBorder="1" applyAlignment="1">
      <alignment horizontal="center" wrapText="1"/>
    </xf>
    <xf numFmtId="0" fontId="1" fillId="0" borderId="23" xfId="0" applyFont="1" applyBorder="1" applyAlignment="1">
      <alignment horizontal="right" wrapText="1"/>
    </xf>
    <xf numFmtId="166" fontId="1" fillId="0" borderId="24" xfId="0" applyNumberFormat="1" applyFont="1" applyBorder="1" applyAlignment="1">
      <alignment horizontal="center" wrapText="1"/>
    </xf>
    <xf numFmtId="166" fontId="1" fillId="0" borderId="25" xfId="0" applyNumberFormat="1" applyFont="1" applyBorder="1" applyAlignment="1">
      <alignment horizontal="center" wrapText="1"/>
    </xf>
    <xf numFmtId="166" fontId="1" fillId="0" borderId="26" xfId="0" applyNumberFormat="1" applyFont="1" applyBorder="1" applyAlignment="1">
      <alignment horizontal="center" wrapText="1"/>
    </xf>
    <xf numFmtId="0" fontId="1" fillId="0" borderId="0" xfId="0" applyFont="1" applyAlignment="1">
      <alignment horizontal="center"/>
    </xf>
    <xf numFmtId="0" fontId="1" fillId="0" borderId="27" xfId="0" applyFont="1" applyBorder="1" applyAlignment="1">
      <alignment horizontal="right" wrapText="1"/>
    </xf>
    <xf numFmtId="166" fontId="1" fillId="0" borderId="28" xfId="0" applyNumberFormat="1" applyFont="1" applyBorder="1" applyAlignment="1">
      <alignment horizontal="center" wrapText="1"/>
    </xf>
    <xf numFmtId="166" fontId="1" fillId="0" borderId="29" xfId="0" applyNumberFormat="1" applyFont="1" applyBorder="1" applyAlignment="1">
      <alignment horizontal="center" wrapText="1"/>
    </xf>
    <xf numFmtId="166" fontId="1" fillId="0" borderId="30" xfId="0" applyNumberFormat="1" applyFont="1" applyBorder="1" applyAlignment="1">
      <alignment horizontal="center" wrapText="1"/>
    </xf>
    <xf numFmtId="0" fontId="1" fillId="0" borderId="31" xfId="0" applyFont="1" applyBorder="1" applyAlignment="1">
      <alignment horizontal="right" wrapText="1"/>
    </xf>
    <xf numFmtId="166" fontId="1" fillId="0" borderId="32" xfId="0" applyNumberFormat="1" applyFont="1" applyBorder="1" applyAlignment="1">
      <alignment horizontal="center" wrapText="1"/>
    </xf>
    <xf numFmtId="166" fontId="1" fillId="0" borderId="33" xfId="0" applyNumberFormat="1" applyFont="1" applyBorder="1" applyAlignment="1">
      <alignment horizontal="center" wrapText="1"/>
    </xf>
    <xf numFmtId="166" fontId="1" fillId="0" borderId="34" xfId="0" applyNumberFormat="1" applyFont="1" applyBorder="1" applyAlignment="1">
      <alignment horizontal="center" wrapText="1"/>
    </xf>
    <xf numFmtId="0" fontId="1" fillId="0" borderId="35" xfId="0" applyFont="1" applyBorder="1" applyAlignment="1">
      <alignment horizontal="right" wrapText="1"/>
    </xf>
    <xf numFmtId="166" fontId="1" fillId="0" borderId="36" xfId="0" applyNumberFormat="1" applyFont="1" applyBorder="1" applyAlignment="1">
      <alignment horizontal="center" wrapText="1"/>
    </xf>
    <xf numFmtId="166" fontId="1" fillId="0" borderId="37" xfId="0" applyNumberFormat="1" applyFont="1" applyBorder="1" applyAlignment="1">
      <alignment horizontal="center" wrapText="1"/>
    </xf>
    <xf numFmtId="166" fontId="1" fillId="0" borderId="38" xfId="0" applyNumberFormat="1" applyFont="1" applyBorder="1" applyAlignment="1">
      <alignment horizontal="center" wrapText="1"/>
    </xf>
    <xf numFmtId="0" fontId="1" fillId="0" borderId="39" xfId="0" applyFont="1" applyBorder="1" applyAlignment="1">
      <alignment horizontal="right" wrapText="1"/>
    </xf>
    <xf numFmtId="166" fontId="1" fillId="0" borderId="40" xfId="0" applyNumberFormat="1" applyFont="1" applyBorder="1" applyAlignment="1">
      <alignment horizontal="center" wrapText="1"/>
    </xf>
    <xf numFmtId="166" fontId="1" fillId="0" borderId="41" xfId="0" applyNumberFormat="1" applyFont="1" applyBorder="1" applyAlignment="1">
      <alignment horizontal="center" wrapText="1"/>
    </xf>
    <xf numFmtId="166" fontId="1" fillId="0" borderId="42" xfId="0" applyNumberFormat="1" applyFont="1" applyBorder="1" applyAlignment="1">
      <alignment horizontal="center" wrapText="1"/>
    </xf>
    <xf numFmtId="0" fontId="1" fillId="0" borderId="43" xfId="0" applyFont="1" applyBorder="1" applyAlignment="1">
      <alignment horizontal="right" wrapText="1"/>
    </xf>
    <xf numFmtId="166" fontId="1" fillId="0" borderId="44" xfId="0" applyNumberFormat="1" applyFont="1" applyBorder="1" applyAlignment="1">
      <alignment horizontal="center" wrapText="1"/>
    </xf>
    <xf numFmtId="166" fontId="1" fillId="0" borderId="45" xfId="0" applyNumberFormat="1" applyFont="1" applyBorder="1" applyAlignment="1">
      <alignment horizontal="center" wrapText="1"/>
    </xf>
    <xf numFmtId="166" fontId="1" fillId="0" borderId="46" xfId="0" applyNumberFormat="1" applyFont="1" applyBorder="1" applyAlignment="1">
      <alignment horizontal="center" wrapText="1"/>
    </xf>
    <xf numFmtId="0" fontId="1" fillId="0" borderId="47" xfId="0" applyFont="1" applyBorder="1" applyAlignment="1">
      <alignment horizontal="right" wrapText="1"/>
    </xf>
    <xf numFmtId="0" fontId="1" fillId="0" borderId="48" xfId="0" applyFont="1" applyBorder="1" applyAlignment="1">
      <alignment horizontal="right" wrapText="1"/>
    </xf>
    <xf numFmtId="0" fontId="1" fillId="0" borderId="49" xfId="0" applyFont="1" applyBorder="1" applyAlignment="1">
      <alignment horizontal="right" wrapText="1"/>
    </xf>
    <xf numFmtId="0" fontId="4" fillId="5" borderId="0" xfId="0" applyFont="1" applyFill="1" applyAlignment="1">
      <alignment horizontal="center" vertical="center"/>
    </xf>
    <xf numFmtId="0" fontId="1" fillId="0" borderId="0" xfId="0" applyFont="1" applyAlignment="1">
      <alignment vertical="top"/>
    </xf>
    <xf numFmtId="0" fontId="1" fillId="0" borderId="11" xfId="0" applyFont="1" applyBorder="1" applyAlignment="1">
      <alignment horizontal="left" vertical="top" indent="1"/>
    </xf>
    <xf numFmtId="0" fontId="1" fillId="0" borderId="12" xfId="0" applyFont="1" applyBorder="1" applyAlignment="1">
      <alignment horizontal="left" vertical="top"/>
    </xf>
    <xf numFmtId="0" fontId="1" fillId="0" borderId="1" xfId="0" applyFont="1" applyBorder="1" applyAlignment="1">
      <alignment horizontal="center" vertical="top"/>
    </xf>
    <xf numFmtId="6" fontId="1" fillId="0" borderId="1" xfId="0" applyNumberFormat="1" applyFont="1" applyBorder="1" applyAlignment="1">
      <alignment horizontal="center" vertical="top"/>
    </xf>
    <xf numFmtId="0" fontId="1" fillId="0" borderId="0" xfId="0" applyFont="1" applyAlignment="1">
      <alignment horizontal="left" vertical="top"/>
    </xf>
    <xf numFmtId="0" fontId="1" fillId="0" borderId="11" xfId="0" applyFont="1" applyBorder="1" applyAlignment="1">
      <alignment horizontal="left" vertical="top"/>
    </xf>
    <xf numFmtId="9" fontId="1" fillId="0" borderId="1" xfId="0" applyNumberFormat="1" applyFont="1" applyBorder="1" applyAlignment="1">
      <alignment horizontal="center" vertical="top"/>
    </xf>
    <xf numFmtId="5" fontId="1" fillId="0" borderId="11" xfId="2" applyNumberFormat="1" applyFont="1" applyBorder="1" applyAlignment="1">
      <alignment horizontal="left" vertical="top"/>
    </xf>
    <xf numFmtId="5" fontId="1" fillId="0" borderId="12" xfId="2" applyNumberFormat="1" applyFont="1" applyBorder="1" applyAlignment="1">
      <alignment horizontal="left" vertical="top"/>
    </xf>
    <xf numFmtId="5" fontId="1" fillId="0" borderId="1" xfId="2" applyNumberFormat="1" applyFont="1" applyBorder="1" applyAlignment="1">
      <alignment horizontal="center" vertical="top"/>
    </xf>
    <xf numFmtId="5" fontId="1" fillId="0" borderId="0" xfId="2" applyNumberFormat="1" applyFont="1" applyBorder="1" applyAlignment="1">
      <alignment vertical="top"/>
    </xf>
    <xf numFmtId="5" fontId="1" fillId="0" borderId="0" xfId="2" applyNumberFormat="1" applyFont="1" applyBorder="1" applyAlignment="1">
      <alignment horizontal="left" vertical="top"/>
    </xf>
    <xf numFmtId="0" fontId="15" fillId="6" borderId="20" xfId="0" applyFont="1" applyFill="1" applyBorder="1" applyAlignment="1">
      <alignment horizontal="center" wrapText="1"/>
    </xf>
    <xf numFmtId="0" fontId="15" fillId="6" borderId="21" xfId="0" applyFont="1" applyFill="1" applyBorder="1" applyAlignment="1">
      <alignment horizontal="center" wrapText="1"/>
    </xf>
    <xf numFmtId="0" fontId="1" fillId="0" borderId="0" xfId="0" applyFont="1" applyAlignment="1">
      <alignment vertical="center"/>
    </xf>
    <xf numFmtId="0" fontId="1" fillId="0" borderId="0" xfId="0" applyFont="1" applyAlignment="1">
      <alignment vertical="center" wrapText="1"/>
    </xf>
    <xf numFmtId="0" fontId="1" fillId="7" borderId="0" xfId="0" applyFont="1" applyFill="1"/>
    <xf numFmtId="0" fontId="1" fillId="0" borderId="0" xfId="0" applyFont="1" applyAlignment="1">
      <alignment horizontal="left"/>
    </xf>
    <xf numFmtId="0" fontId="16" fillId="0" borderId="0" xfId="0" applyFont="1"/>
    <xf numFmtId="0" fontId="16" fillId="7" borderId="0" xfId="0" applyFont="1" applyFill="1" applyAlignment="1">
      <alignment vertical="top" wrapText="1"/>
    </xf>
    <xf numFmtId="0" fontId="16" fillId="7" borderId="0" xfId="0" applyFont="1" applyFill="1" applyAlignment="1">
      <alignment vertical="top"/>
    </xf>
    <xf numFmtId="165" fontId="1" fillId="0" borderId="1" xfId="1" applyNumberFormat="1" applyFont="1" applyFill="1" applyBorder="1" applyProtection="1"/>
    <xf numFmtId="43" fontId="4" fillId="0" borderId="0" xfId="1" applyFont="1" applyBorder="1" applyAlignment="1" applyProtection="1">
      <alignment horizontal="right"/>
    </xf>
    <xf numFmtId="0" fontId="0" fillId="0" borderId="0" xfId="0" applyProtection="1">
      <protection locked="0"/>
    </xf>
    <xf numFmtId="0" fontId="0" fillId="0" borderId="0" xfId="0" applyAlignment="1">
      <alignment horizontal="left" wrapText="1"/>
    </xf>
    <xf numFmtId="44" fontId="8" fillId="2" borderId="1" xfId="2" applyFont="1" applyFill="1" applyBorder="1" applyProtection="1">
      <protection locked="0"/>
    </xf>
    <xf numFmtId="164" fontId="8" fillId="2" borderId="1" xfId="2" applyNumberFormat="1" applyFont="1" applyFill="1" applyBorder="1" applyAlignment="1" applyProtection="1">
      <alignment horizontal="right"/>
      <protection locked="0"/>
    </xf>
    <xf numFmtId="164" fontId="8" fillId="0" borderId="1" xfId="2" applyNumberFormat="1" applyFont="1" applyFill="1" applyBorder="1" applyAlignment="1" applyProtection="1">
      <alignment horizontal="right"/>
    </xf>
    <xf numFmtId="164" fontId="14" fillId="0" borderId="0" xfId="2" applyNumberFormat="1" applyFont="1" applyFill="1" applyBorder="1" applyAlignment="1" applyProtection="1">
      <alignment horizontal="right"/>
    </xf>
    <xf numFmtId="0" fontId="8" fillId="2" borderId="1" xfId="0" applyFont="1" applyFill="1" applyBorder="1" applyProtection="1">
      <protection locked="0"/>
    </xf>
    <xf numFmtId="49" fontId="17" fillId="0" borderId="3" xfId="1" applyNumberFormat="1" applyFont="1" applyBorder="1" applyAlignment="1" applyProtection="1">
      <alignment horizontal="right" vertical="center"/>
    </xf>
    <xf numFmtId="49" fontId="7" fillId="0" borderId="3" xfId="1" applyNumberFormat="1" applyFont="1" applyBorder="1" applyAlignment="1" applyProtection="1">
      <alignment horizontal="center" vertical="center"/>
    </xf>
    <xf numFmtId="49" fontId="8" fillId="0" borderId="3" xfId="0" applyNumberFormat="1" applyFont="1" applyBorder="1" applyAlignment="1">
      <alignment horizontal="center" vertical="center"/>
    </xf>
    <xf numFmtId="49" fontId="7" fillId="0" borderId="3" xfId="0" applyNumberFormat="1" applyFont="1" applyBorder="1" applyAlignment="1">
      <alignment horizontal="center" vertical="center"/>
    </xf>
    <xf numFmtId="0" fontId="1" fillId="8" borderId="0" xfId="0" applyFont="1" applyFill="1"/>
    <xf numFmtId="49" fontId="7" fillId="0" borderId="57" xfId="0" applyNumberFormat="1" applyFont="1" applyBorder="1" applyAlignment="1">
      <alignment horizontal="center" vertical="center"/>
    </xf>
    <xf numFmtId="166" fontId="7" fillId="0" borderId="6" xfId="2" applyNumberFormat="1" applyFont="1" applyFill="1" applyBorder="1" applyProtection="1"/>
    <xf numFmtId="165" fontId="1" fillId="0" borderId="0" xfId="1" applyNumberFormat="1" applyFont="1" applyFill="1" applyBorder="1" applyProtection="1"/>
    <xf numFmtId="0" fontId="1" fillId="0" borderId="0" xfId="0" applyFont="1" applyAlignment="1">
      <alignment horizontal="left" vertical="top" wrapText="1"/>
    </xf>
    <xf numFmtId="165" fontId="1" fillId="0" borderId="0" xfId="1" applyNumberFormat="1" applyFont="1" applyFill="1" applyAlignment="1" applyProtection="1">
      <alignment horizontal="right"/>
      <protection locked="0"/>
    </xf>
    <xf numFmtId="43" fontId="1" fillId="0" borderId="0" xfId="1" applyFont="1" applyBorder="1" applyProtection="1"/>
    <xf numFmtId="43" fontId="1" fillId="0" borderId="0" xfId="1" applyFont="1" applyProtection="1"/>
    <xf numFmtId="0" fontId="1" fillId="0" borderId="0" xfId="0" applyFont="1" applyAlignment="1">
      <alignment horizontal="right" vertical="top" wrapText="1"/>
    </xf>
    <xf numFmtId="0" fontId="0" fillId="0" borderId="0" xfId="0" applyAlignment="1">
      <alignment horizontal="center"/>
    </xf>
    <xf numFmtId="0" fontId="1" fillId="0" borderId="0" xfId="0" applyFont="1" applyAlignment="1">
      <alignment horizontal="right"/>
    </xf>
    <xf numFmtId="0" fontId="1" fillId="0" borderId="2" xfId="0" applyFont="1" applyBorder="1"/>
    <xf numFmtId="165" fontId="0" fillId="0" borderId="0" xfId="1" applyNumberFormat="1" applyFont="1" applyFill="1" applyBorder="1" applyProtection="1"/>
    <xf numFmtId="165" fontId="0" fillId="0" borderId="0" xfId="1" applyNumberFormat="1" applyFont="1" applyFill="1" applyProtection="1"/>
    <xf numFmtId="0" fontId="1" fillId="0" borderId="11"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left" vertical="top"/>
    </xf>
    <xf numFmtId="166" fontId="1" fillId="0" borderId="59" xfId="0" applyNumberFormat="1" applyFont="1" applyBorder="1" applyAlignment="1">
      <alignment horizontal="center" wrapText="1"/>
    </xf>
    <xf numFmtId="166" fontId="1" fillId="0" borderId="60" xfId="0" applyNumberFormat="1" applyFont="1" applyBorder="1" applyAlignment="1">
      <alignment horizontal="center" wrapText="1"/>
    </xf>
    <xf numFmtId="166" fontId="1" fillId="0" borderId="61" xfId="0" applyNumberFormat="1" applyFont="1" applyBorder="1" applyAlignment="1">
      <alignment horizontal="center" wrapText="1"/>
    </xf>
    <xf numFmtId="0" fontId="3" fillId="5" borderId="1" xfId="0" applyFont="1" applyFill="1" applyBorder="1" applyAlignment="1">
      <alignment horizontal="right" vertical="center" wrapText="1"/>
    </xf>
    <xf numFmtId="0" fontId="3" fillId="5" borderId="1" xfId="0" applyFont="1" applyFill="1" applyBorder="1" applyAlignment="1">
      <alignment horizontal="center" vertical="center" wrapText="1"/>
    </xf>
    <xf numFmtId="0" fontId="1" fillId="0" borderId="1" xfId="0" applyFont="1" applyBorder="1" applyAlignment="1">
      <alignment horizontal="center" vertical="top" wrapText="1"/>
    </xf>
    <xf numFmtId="0" fontId="3" fillId="0" borderId="1" xfId="0" applyFont="1" applyBorder="1" applyAlignment="1">
      <alignment horizontal="left" vertical="top" wrapText="1"/>
    </xf>
    <xf numFmtId="0" fontId="1" fillId="0" borderId="1" xfId="0" applyFont="1" applyBorder="1" applyAlignment="1">
      <alignment horizontal="center" vertical="center" wrapText="1" shrinkToFit="1"/>
    </xf>
    <xf numFmtId="0" fontId="1" fillId="0" borderId="1" xfId="0" applyFont="1" applyBorder="1" applyAlignment="1">
      <alignment horizontal="center" vertical="center" wrapText="1"/>
    </xf>
    <xf numFmtId="6" fontId="1" fillId="0" borderId="1" xfId="0" applyNumberFormat="1" applyFont="1" applyBorder="1" applyAlignment="1">
      <alignment horizontal="center" vertical="center"/>
    </xf>
    <xf numFmtId="6" fontId="1" fillId="0" borderId="1" xfId="0" applyNumberFormat="1" applyFont="1" applyBorder="1" applyAlignment="1">
      <alignment horizontal="center" vertical="center" wrapText="1"/>
    </xf>
    <xf numFmtId="0" fontId="1" fillId="0" borderId="1" xfId="0" applyFont="1" applyBorder="1" applyAlignment="1">
      <alignment horizontal="center" vertical="center" shrinkToFit="1"/>
    </xf>
    <xf numFmtId="6" fontId="1" fillId="0" borderId="1" xfId="0" applyNumberFormat="1" applyFont="1" applyBorder="1" applyAlignment="1">
      <alignment horizontal="center" vertical="center" shrinkToFit="1"/>
    </xf>
    <xf numFmtId="6" fontId="1" fillId="0" borderId="1" xfId="0" quotePrefix="1" applyNumberFormat="1" applyFont="1" applyBorder="1" applyAlignment="1">
      <alignment horizontal="center" vertical="center" shrinkToFit="1"/>
    </xf>
    <xf numFmtId="0" fontId="3" fillId="5" borderId="62" xfId="0" applyFont="1" applyFill="1" applyBorder="1" applyAlignment="1">
      <alignment horizontal="left" vertical="center"/>
    </xf>
    <xf numFmtId="0" fontId="3" fillId="5" borderId="63" xfId="0" applyFont="1" applyFill="1" applyBorder="1" applyAlignment="1">
      <alignment horizontal="left" vertical="center" wrapText="1"/>
    </xf>
    <xf numFmtId="0" fontId="3" fillId="5" borderId="64" xfId="0" applyFont="1" applyFill="1" applyBorder="1" applyAlignment="1">
      <alignment horizontal="right" vertical="center" wrapText="1"/>
    </xf>
    <xf numFmtId="0" fontId="3" fillId="0" borderId="11" xfId="0" applyFont="1" applyBorder="1" applyAlignment="1">
      <alignment horizontal="left" vertical="top"/>
    </xf>
    <xf numFmtId="0" fontId="3" fillId="0" borderId="12" xfId="0" applyFont="1" applyBorder="1" applyAlignment="1">
      <alignment horizontal="left" vertical="top"/>
    </xf>
    <xf numFmtId="0" fontId="3" fillId="0" borderId="18" xfId="0" applyFont="1" applyBorder="1" applyAlignment="1">
      <alignment horizontal="left" vertical="top" wrapText="1"/>
    </xf>
    <xf numFmtId="0" fontId="3" fillId="0" borderId="11" xfId="0" applyFont="1" applyBorder="1" applyAlignment="1">
      <alignment horizontal="left" vertical="top" indent="1"/>
    </xf>
    <xf numFmtId="0" fontId="1" fillId="0" borderId="18" xfId="0" applyFont="1" applyBorder="1" applyAlignment="1">
      <alignment horizontal="left" vertical="top" wrapText="1" indent="1"/>
    </xf>
    <xf numFmtId="0" fontId="1" fillId="0" borderId="18" xfId="0" applyFont="1" applyBorder="1" applyAlignment="1">
      <alignment horizontal="left" vertical="top" wrapText="1"/>
    </xf>
    <xf numFmtId="5" fontId="1" fillId="0" borderId="18" xfId="2" applyNumberFormat="1" applyFont="1" applyBorder="1" applyAlignment="1">
      <alignment horizontal="left" vertical="top" wrapText="1"/>
    </xf>
    <xf numFmtId="0" fontId="3" fillId="5" borderId="11" xfId="0" applyFont="1" applyFill="1" applyBorder="1" applyAlignment="1">
      <alignment horizontal="left" vertical="center"/>
    </xf>
    <xf numFmtId="0" fontId="3" fillId="5" borderId="12" xfId="0" applyFont="1" applyFill="1" applyBorder="1" applyAlignment="1">
      <alignment horizontal="left" vertical="center" wrapText="1"/>
    </xf>
    <xf numFmtId="0" fontId="3" fillId="5" borderId="18" xfId="0" applyFont="1" applyFill="1" applyBorder="1" applyAlignment="1">
      <alignment horizontal="right" vertical="center" wrapText="1"/>
    </xf>
    <xf numFmtId="0" fontId="3" fillId="0" borderId="18" xfId="0" applyFont="1" applyBorder="1" applyAlignment="1">
      <alignment horizontal="left" vertical="top"/>
    </xf>
    <xf numFmtId="0" fontId="1" fillId="0" borderId="16" xfId="0" applyFont="1" applyBorder="1" applyAlignment="1">
      <alignment horizontal="left" vertical="top" wrapText="1" indent="1"/>
    </xf>
    <xf numFmtId="0" fontId="0" fillId="0" borderId="0" xfId="0" applyAlignment="1">
      <alignment horizontal="right"/>
    </xf>
    <xf numFmtId="0" fontId="1" fillId="0" borderId="0" xfId="0" quotePrefix="1" applyFont="1" applyAlignment="1">
      <alignment horizontal="right" wrapText="1"/>
    </xf>
    <xf numFmtId="165" fontId="1" fillId="3" borderId="0" xfId="1" applyNumberFormat="1" applyFont="1" applyFill="1" applyBorder="1" applyProtection="1"/>
    <xf numFmtId="49" fontId="1" fillId="0" borderId="0" xfId="0" applyNumberFormat="1" applyFont="1" applyAlignment="1">
      <alignment horizontal="left" wrapText="1" indent="1"/>
    </xf>
    <xf numFmtId="165" fontId="1" fillId="3" borderId="0" xfId="1" applyNumberFormat="1" applyFont="1" applyFill="1" applyBorder="1" applyAlignment="1" applyProtection="1">
      <alignment horizontal="right"/>
    </xf>
    <xf numFmtId="165" fontId="1" fillId="3" borderId="4" xfId="1" applyNumberFormat="1" applyFont="1" applyFill="1" applyBorder="1" applyProtection="1"/>
    <xf numFmtId="165" fontId="1" fillId="3" borderId="5" xfId="1" applyNumberFormat="1" applyFont="1" applyFill="1" applyBorder="1" applyAlignment="1" applyProtection="1">
      <alignment horizontal="right"/>
    </xf>
    <xf numFmtId="165" fontId="1" fillId="3" borderId="65" xfId="1" applyNumberFormat="1" applyFont="1" applyFill="1" applyBorder="1" applyProtection="1"/>
    <xf numFmtId="165" fontId="1" fillId="3" borderId="3" xfId="1" applyNumberFormat="1" applyFont="1" applyFill="1" applyBorder="1" applyProtection="1"/>
    <xf numFmtId="165" fontId="1" fillId="3" borderId="57" xfId="1" applyNumberFormat="1" applyFont="1" applyFill="1" applyBorder="1" applyProtection="1"/>
    <xf numFmtId="165" fontId="1" fillId="3" borderId="7" xfId="1" applyNumberFormat="1" applyFont="1" applyFill="1" applyBorder="1" applyAlignment="1" applyProtection="1">
      <alignment horizontal="right"/>
    </xf>
    <xf numFmtId="165" fontId="1" fillId="3" borderId="7" xfId="1" applyNumberFormat="1" applyFont="1" applyFill="1" applyBorder="1" applyProtection="1"/>
    <xf numFmtId="166" fontId="8" fillId="2" borderId="1" xfId="0" applyNumberFormat="1" applyFont="1" applyFill="1" applyBorder="1" applyProtection="1">
      <protection locked="0"/>
    </xf>
    <xf numFmtId="5" fontId="8" fillId="0" borderId="1" xfId="2" applyNumberFormat="1" applyFont="1" applyFill="1" applyBorder="1" applyAlignment="1" applyProtection="1">
      <alignment horizontal="right"/>
    </xf>
    <xf numFmtId="0" fontId="8" fillId="0" borderId="0" xfId="0" applyFont="1"/>
    <xf numFmtId="166" fontId="8" fillId="0" borderId="1" xfId="0" applyNumberFormat="1" applyFont="1" applyBorder="1"/>
    <xf numFmtId="165" fontId="1" fillId="0" borderId="1" xfId="1" applyNumberFormat="1" applyFont="1" applyFill="1" applyBorder="1" applyAlignment="1" applyProtection="1">
      <alignment horizontal="right"/>
      <protection locked="0"/>
    </xf>
    <xf numFmtId="0" fontId="0" fillId="0" borderId="1" xfId="0" applyBorder="1" applyAlignment="1">
      <alignment wrapText="1"/>
    </xf>
    <xf numFmtId="43" fontId="4" fillId="0" borderId="1" xfId="1" applyFont="1" applyBorder="1" applyAlignment="1" applyProtection="1">
      <alignment wrapText="1"/>
    </xf>
    <xf numFmtId="0" fontId="1" fillId="0" borderId="1" xfId="0" applyFont="1" applyBorder="1" applyAlignment="1">
      <alignment horizontal="left" vertical="top" wrapText="1"/>
    </xf>
    <xf numFmtId="0" fontId="1" fillId="0" borderId="1" xfId="0" applyFont="1" applyBorder="1" applyAlignment="1">
      <alignment horizontal="right" vertical="top" wrapText="1"/>
    </xf>
    <xf numFmtId="0" fontId="0" fillId="0" borderId="1" xfId="0" applyBorder="1"/>
    <xf numFmtId="0" fontId="0" fillId="10" borderId="1" xfId="0" applyFill="1" applyBorder="1"/>
    <xf numFmtId="165" fontId="1" fillId="0" borderId="1" xfId="1" applyNumberFormat="1" applyFont="1" applyFill="1" applyBorder="1" applyProtection="1">
      <protection locked="0"/>
    </xf>
    <xf numFmtId="0" fontId="0" fillId="10" borderId="19" xfId="0" applyFill="1" applyBorder="1"/>
    <xf numFmtId="0" fontId="0" fillId="10" borderId="12" xfId="0" applyFill="1" applyBorder="1"/>
    <xf numFmtId="0" fontId="0" fillId="10" borderId="18" xfId="0" applyFill="1" applyBorder="1"/>
    <xf numFmtId="165" fontId="1" fillId="9" borderId="9" xfId="1" applyNumberFormat="1" applyFont="1" applyFill="1" applyBorder="1" applyProtection="1"/>
    <xf numFmtId="165" fontId="1" fillId="3" borderId="1" xfId="1" applyNumberFormat="1" applyFont="1" applyFill="1" applyBorder="1" applyAlignment="1" applyProtection="1">
      <alignment horizontal="right"/>
    </xf>
    <xf numFmtId="165" fontId="6" fillId="3" borderId="1" xfId="1" applyNumberFormat="1" applyFont="1" applyFill="1" applyBorder="1" applyAlignment="1" applyProtection="1">
      <alignment horizontal="right"/>
    </xf>
    <xf numFmtId="165" fontId="1" fillId="9" borderId="1" xfId="1" applyNumberFormat="1" applyFont="1" applyFill="1" applyBorder="1" applyAlignment="1" applyProtection="1">
      <alignment horizontal="right"/>
    </xf>
    <xf numFmtId="165" fontId="1" fillId="9" borderId="1" xfId="1" applyNumberFormat="1" applyFont="1" applyFill="1" applyBorder="1" applyAlignment="1" applyProtection="1"/>
    <xf numFmtId="165" fontId="1" fillId="9" borderId="1" xfId="1" applyNumberFormat="1" applyFont="1" applyFill="1" applyBorder="1" applyProtection="1"/>
    <xf numFmtId="165" fontId="0" fillId="0" borderId="0" xfId="0" applyNumberFormat="1"/>
    <xf numFmtId="166" fontId="8" fillId="0" borderId="0" xfId="0" applyNumberFormat="1" applyFont="1"/>
    <xf numFmtId="43" fontId="4" fillId="0" borderId="6" xfId="1" applyFont="1" applyFill="1" applyBorder="1" applyAlignment="1" applyProtection="1">
      <alignment horizontal="center" wrapText="1"/>
    </xf>
    <xf numFmtId="5" fontId="8" fillId="0" borderId="6" xfId="1" applyNumberFormat="1" applyFont="1" applyFill="1" applyBorder="1" applyAlignment="1" applyProtection="1">
      <alignment horizontal="right"/>
    </xf>
    <xf numFmtId="166" fontId="8" fillId="0" borderId="6" xfId="2" applyNumberFormat="1" applyFont="1" applyFill="1" applyBorder="1" applyAlignment="1" applyProtection="1">
      <alignment horizontal="right"/>
    </xf>
    <xf numFmtId="3" fontId="8" fillId="0" borderId="6" xfId="1" applyNumberFormat="1" applyFont="1" applyFill="1" applyBorder="1" applyProtection="1"/>
    <xf numFmtId="43" fontId="24" fillId="0" borderId="0" xfId="1" applyFont="1" applyBorder="1" applyAlignment="1" applyProtection="1">
      <alignment horizontal="center" wrapText="1"/>
    </xf>
    <xf numFmtId="165" fontId="1" fillId="0" borderId="1" xfId="1" applyNumberFormat="1" applyFont="1" applyBorder="1" applyProtection="1"/>
    <xf numFmtId="43" fontId="4" fillId="11" borderId="5" xfId="1" applyFont="1" applyFill="1" applyBorder="1" applyAlignment="1" applyProtection="1">
      <alignment horizontal="right" wrapText="1"/>
    </xf>
    <xf numFmtId="43" fontId="4" fillId="11" borderId="8" xfId="1" applyFont="1" applyFill="1" applyBorder="1" applyAlignment="1" applyProtection="1">
      <alignment horizontal="right" wrapText="1"/>
    </xf>
    <xf numFmtId="165" fontId="1" fillId="11" borderId="11" xfId="1" applyNumberFormat="1" applyFont="1" applyFill="1" applyBorder="1" applyProtection="1"/>
    <xf numFmtId="165" fontId="1" fillId="11" borderId="12" xfId="1" applyNumberFormat="1" applyFont="1" applyFill="1" applyBorder="1" applyProtection="1"/>
    <xf numFmtId="165" fontId="1" fillId="11" borderId="13" xfId="1" applyNumberFormat="1" applyFont="1" applyFill="1" applyBorder="1" applyProtection="1"/>
    <xf numFmtId="165" fontId="1" fillId="11" borderId="9" xfId="1" applyNumberFormat="1" applyFont="1" applyFill="1" applyBorder="1" applyProtection="1"/>
    <xf numFmtId="165" fontId="1" fillId="11" borderId="1" xfId="1" applyNumberFormat="1" applyFont="1" applyFill="1" applyBorder="1" applyAlignment="1" applyProtection="1">
      <alignment horizontal="right"/>
    </xf>
    <xf numFmtId="165" fontId="1" fillId="11" borderId="1" xfId="1" applyNumberFormat="1" applyFont="1" applyFill="1" applyBorder="1" applyProtection="1"/>
    <xf numFmtId="165" fontId="1" fillId="11" borderId="10" xfId="1" applyNumberFormat="1" applyFont="1" applyFill="1" applyBorder="1" applyProtection="1"/>
    <xf numFmtId="165" fontId="6" fillId="11" borderId="9" xfId="1" applyNumberFormat="1" applyFont="1" applyFill="1" applyBorder="1" applyProtection="1"/>
    <xf numFmtId="165" fontId="6" fillId="11" borderId="1" xfId="1" applyNumberFormat="1" applyFont="1" applyFill="1" applyBorder="1" applyAlignment="1" applyProtection="1">
      <alignment horizontal="right"/>
    </xf>
    <xf numFmtId="165" fontId="1" fillId="11" borderId="3" xfId="1" applyNumberFormat="1" applyFont="1" applyFill="1" applyBorder="1" applyProtection="1"/>
    <xf numFmtId="165" fontId="1" fillId="11" borderId="0" xfId="1" applyNumberFormat="1" applyFont="1" applyFill="1" applyBorder="1" applyProtection="1"/>
    <xf numFmtId="165" fontId="1" fillId="11" borderId="4" xfId="1" applyNumberFormat="1" applyFont="1" applyFill="1" applyBorder="1" applyProtection="1"/>
    <xf numFmtId="165" fontId="1" fillId="11" borderId="5" xfId="1" applyNumberFormat="1" applyFont="1" applyFill="1" applyBorder="1" applyAlignment="1" applyProtection="1">
      <alignment horizontal="right"/>
    </xf>
    <xf numFmtId="165" fontId="1" fillId="11" borderId="0" xfId="1" applyNumberFormat="1" applyFont="1" applyFill="1" applyBorder="1" applyAlignment="1" applyProtection="1">
      <alignment horizontal="right"/>
    </xf>
    <xf numFmtId="165" fontId="1" fillId="11" borderId="57" xfId="1" applyNumberFormat="1" applyFont="1" applyFill="1" applyBorder="1" applyProtection="1"/>
    <xf numFmtId="165" fontId="1" fillId="11" borderId="7" xfId="1" applyNumberFormat="1" applyFont="1" applyFill="1" applyBorder="1" applyProtection="1"/>
    <xf numFmtId="165" fontId="1" fillId="11" borderId="7" xfId="1" applyNumberFormat="1" applyFont="1" applyFill="1" applyBorder="1" applyAlignment="1" applyProtection="1">
      <alignment horizontal="right"/>
    </xf>
    <xf numFmtId="166" fontId="7" fillId="0" borderId="6" xfId="2" applyNumberFormat="1" applyFont="1" applyFill="1" applyBorder="1" applyAlignment="1" applyProtection="1">
      <alignment vertical="center"/>
    </xf>
    <xf numFmtId="166" fontId="7" fillId="0" borderId="58" xfId="2" applyNumberFormat="1" applyFont="1" applyFill="1" applyBorder="1" applyAlignment="1" applyProtection="1">
      <alignment vertical="center"/>
    </xf>
    <xf numFmtId="49" fontId="29" fillId="0" borderId="0" xfId="1" applyNumberFormat="1" applyFont="1" applyBorder="1" applyAlignment="1" applyProtection="1">
      <alignment horizontal="right" vertical="center" wrapText="1"/>
    </xf>
    <xf numFmtId="49" fontId="29" fillId="0" borderId="0" xfId="1" applyNumberFormat="1" applyFont="1" applyBorder="1" applyAlignment="1" applyProtection="1">
      <alignment horizontal="right" wrapText="1"/>
    </xf>
    <xf numFmtId="49" fontId="29" fillId="0" borderId="0" xfId="0" applyNumberFormat="1" applyFont="1" applyAlignment="1">
      <alignment horizontal="right" wrapText="1"/>
    </xf>
    <xf numFmtId="49" fontId="29" fillId="0" borderId="0" xfId="0" applyNumberFormat="1" applyFont="1" applyAlignment="1">
      <alignment horizontal="right" vertical="center" wrapText="1"/>
    </xf>
    <xf numFmtId="0" fontId="22" fillId="0" borderId="0" xfId="0" applyFont="1" applyAlignment="1">
      <alignment wrapText="1"/>
    </xf>
    <xf numFmtId="0" fontId="22" fillId="0" borderId="0" xfId="0" applyFont="1" applyAlignment="1">
      <alignment horizontal="left" vertical="top"/>
    </xf>
    <xf numFmtId="0" fontId="22" fillId="0" borderId="0" xfId="0" applyFont="1" applyAlignment="1">
      <alignment horizontal="right" vertical="top"/>
    </xf>
    <xf numFmtId="0" fontId="8" fillId="0" borderId="0" xfId="0" applyFont="1" applyAlignment="1">
      <alignment vertical="top" wrapText="1"/>
    </xf>
    <xf numFmtId="0" fontId="7" fillId="0" borderId="0" xfId="0" applyFont="1"/>
    <xf numFmtId="0" fontId="9" fillId="0" borderId="0" xfId="0" applyFont="1"/>
    <xf numFmtId="0" fontId="8" fillId="0" borderId="0" xfId="0" applyFont="1" applyAlignment="1">
      <alignment vertical="center"/>
    </xf>
    <xf numFmtId="0" fontId="3" fillId="0" borderId="0" xfId="0" applyFont="1" applyAlignment="1">
      <alignment vertical="top"/>
    </xf>
    <xf numFmtId="0" fontId="0" fillId="0" borderId="0" xfId="0" applyAlignment="1">
      <alignment wrapText="1"/>
    </xf>
    <xf numFmtId="43" fontId="0" fillId="0" borderId="0" xfId="0" applyNumberFormat="1"/>
    <xf numFmtId="0" fontId="1" fillId="0" borderId="0" xfId="0" applyFont="1" applyAlignment="1">
      <alignment horizontal="right" wrapText="1"/>
    </xf>
    <xf numFmtId="0" fontId="22" fillId="0" borderId="0" xfId="0" applyFont="1" applyAlignment="1">
      <alignment horizontal="left" vertical="top" wrapText="1"/>
    </xf>
    <xf numFmtId="0" fontId="23" fillId="0" borderId="0" xfId="0" applyFont="1" applyAlignment="1">
      <alignment wrapText="1"/>
    </xf>
    <xf numFmtId="0" fontId="9" fillId="0" borderId="0" xfId="0" applyFont="1" applyAlignment="1">
      <alignment vertical="top"/>
    </xf>
    <xf numFmtId="0" fontId="13" fillId="0" borderId="0" xfId="0" applyFont="1"/>
    <xf numFmtId="0" fontId="8" fillId="0" borderId="0" xfId="0" applyFont="1" applyAlignment="1">
      <alignment horizontal="left" vertical="top" wrapText="1"/>
    </xf>
    <xf numFmtId="0" fontId="14" fillId="0" borderId="0" xfId="0" applyFont="1"/>
    <xf numFmtId="43" fontId="13" fillId="0" borderId="0" xfId="1" applyFont="1" applyProtection="1"/>
    <xf numFmtId="0" fontId="14" fillId="0" borderId="0" xfId="0" applyFont="1" applyAlignment="1">
      <alignment horizontal="center" wrapText="1"/>
    </xf>
    <xf numFmtId="43" fontId="13" fillId="0" borderId="0" xfId="1" applyFont="1" applyBorder="1" applyProtection="1"/>
    <xf numFmtId="0" fontId="21" fillId="0" borderId="0" xfId="0" applyFont="1" applyAlignment="1">
      <alignment horizontal="center" wrapText="1"/>
    </xf>
    <xf numFmtId="43" fontId="13" fillId="0" borderId="0" xfId="1" applyFont="1" applyFill="1" applyBorder="1" applyAlignment="1" applyProtection="1">
      <alignment horizontal="center" wrapText="1"/>
    </xf>
    <xf numFmtId="0" fontId="7" fillId="0" borderId="0" xfId="0" applyFont="1" applyAlignment="1">
      <alignment horizontal="right" vertical="top"/>
    </xf>
    <xf numFmtId="165" fontId="1" fillId="3" borderId="10" xfId="1" applyNumberFormat="1" applyFont="1" applyFill="1" applyBorder="1" applyAlignment="1" applyProtection="1"/>
    <xf numFmtId="165" fontId="1" fillId="11" borderId="0" xfId="1" applyNumberFormat="1" applyFont="1" applyFill="1" applyBorder="1" applyAlignment="1" applyProtection="1">
      <alignment horizontal="left"/>
    </xf>
    <xf numFmtId="165" fontId="4" fillId="0" borderId="1" xfId="1" applyNumberFormat="1" applyFont="1" applyBorder="1" applyAlignment="1" applyProtection="1">
      <alignment wrapText="1"/>
    </xf>
    <xf numFmtId="165" fontId="1" fillId="0" borderId="0" xfId="1" applyNumberFormat="1" applyFont="1" applyFill="1" applyProtection="1"/>
    <xf numFmtId="165" fontId="0" fillId="0" borderId="1" xfId="1" applyNumberFormat="1" applyFont="1" applyFill="1" applyBorder="1" applyProtection="1"/>
    <xf numFmtId="165" fontId="0" fillId="0" borderId="0" xfId="1" applyNumberFormat="1" applyFont="1" applyProtection="1"/>
    <xf numFmtId="165" fontId="1" fillId="9" borderId="0" xfId="1" applyNumberFormat="1" applyFont="1" applyFill="1" applyProtection="1"/>
    <xf numFmtId="165" fontId="1" fillId="11" borderId="56" xfId="1" applyNumberFormat="1" applyFont="1" applyFill="1" applyBorder="1" applyAlignment="1" applyProtection="1">
      <alignment horizontal="center"/>
    </xf>
    <xf numFmtId="165" fontId="1" fillId="11" borderId="70" xfId="1" applyNumberFormat="1" applyFont="1" applyFill="1" applyBorder="1" applyProtection="1"/>
    <xf numFmtId="165" fontId="1" fillId="11" borderId="71" xfId="1" applyNumberFormat="1" applyFont="1" applyFill="1" applyBorder="1" applyAlignment="1" applyProtection="1">
      <alignment horizontal="right"/>
    </xf>
    <xf numFmtId="165" fontId="1" fillId="11" borderId="71" xfId="1" applyNumberFormat="1" applyFont="1" applyFill="1" applyBorder="1" applyProtection="1"/>
    <xf numFmtId="165" fontId="1" fillId="11" borderId="20" xfId="1" applyNumberFormat="1" applyFont="1" applyFill="1" applyBorder="1" applyProtection="1"/>
    <xf numFmtId="165" fontId="1" fillId="11" borderId="21" xfId="1" applyNumberFormat="1" applyFont="1" applyFill="1" applyBorder="1" applyAlignment="1" applyProtection="1">
      <alignment horizontal="right"/>
    </xf>
    <xf numFmtId="165" fontId="1" fillId="11" borderId="72" xfId="1" applyNumberFormat="1" applyFont="1" applyFill="1" applyBorder="1" applyProtection="1"/>
    <xf numFmtId="165" fontId="1" fillId="11" borderId="73" xfId="1" applyNumberFormat="1" applyFont="1" applyFill="1" applyBorder="1" applyProtection="1"/>
    <xf numFmtId="165" fontId="1" fillId="11" borderId="74" xfId="1" applyNumberFormat="1" applyFont="1" applyFill="1" applyBorder="1" applyProtection="1"/>
    <xf numFmtId="165" fontId="1" fillId="11" borderId="75" xfId="1" applyNumberFormat="1" applyFont="1" applyFill="1" applyBorder="1" applyProtection="1"/>
    <xf numFmtId="165" fontId="4" fillId="0" borderId="0" xfId="1" applyNumberFormat="1" applyFont="1" applyBorder="1" applyAlignment="1" applyProtection="1">
      <alignment wrapText="1"/>
    </xf>
    <xf numFmtId="165" fontId="1" fillId="0" borderId="0" xfId="1" applyNumberFormat="1" applyFont="1" applyFill="1" applyBorder="1" applyAlignment="1" applyProtection="1">
      <alignment horizontal="right"/>
      <protection locked="0"/>
    </xf>
    <xf numFmtId="165" fontId="0" fillId="0" borderId="12" xfId="1" applyNumberFormat="1" applyFont="1" applyFill="1" applyBorder="1" applyProtection="1"/>
    <xf numFmtId="13" fontId="0" fillId="0" borderId="0" xfId="0" applyNumberFormat="1"/>
    <xf numFmtId="49" fontId="1" fillId="0" borderId="0" xfId="0" applyNumberFormat="1" applyFont="1"/>
    <xf numFmtId="0" fontId="0" fillId="8" borderId="0" xfId="0" applyFill="1"/>
    <xf numFmtId="0" fontId="1" fillId="0" borderId="0" xfId="0" applyFont="1" applyAlignment="1">
      <alignment horizontal="left" wrapText="1"/>
    </xf>
    <xf numFmtId="43" fontId="1" fillId="0" borderId="0" xfId="1" applyFont="1" applyAlignment="1" applyProtection="1">
      <alignment horizontal="left" wrapText="1"/>
    </xf>
    <xf numFmtId="5" fontId="1" fillId="13" borderId="1" xfId="2" applyNumberFormat="1" applyFont="1" applyFill="1" applyBorder="1" applyAlignment="1">
      <alignment horizontal="center" vertical="top"/>
    </xf>
    <xf numFmtId="165" fontId="1" fillId="0" borderId="0" xfId="1" applyNumberFormat="1" applyFont="1" applyFill="1" applyBorder="1" applyAlignment="1" applyProtection="1">
      <alignment horizontal="left"/>
      <protection locked="0"/>
    </xf>
    <xf numFmtId="165" fontId="1" fillId="0" borderId="1" xfId="1" quotePrefix="1" applyNumberFormat="1" applyFont="1" applyFill="1" applyBorder="1" applyProtection="1"/>
    <xf numFmtId="0" fontId="29" fillId="0" borderId="0" xfId="1" applyNumberFormat="1" applyFont="1" applyBorder="1" applyAlignment="1" applyProtection="1">
      <alignment horizontal="right" vertical="center" wrapText="1"/>
    </xf>
    <xf numFmtId="42" fontId="30" fillId="0" borderId="0" xfId="2" applyNumberFormat="1" applyFont="1" applyFill="1" applyBorder="1" applyAlignment="1" applyProtection="1">
      <alignment vertical="center"/>
    </xf>
    <xf numFmtId="42" fontId="30" fillId="0" borderId="0" xfId="0" applyNumberFormat="1" applyFont="1" applyAlignment="1">
      <alignment vertical="top"/>
    </xf>
    <xf numFmtId="43" fontId="29" fillId="0" borderId="0" xfId="1" applyFont="1" applyBorder="1" applyAlignment="1" applyProtection="1">
      <alignment horizontal="right" vertical="top" wrapText="1"/>
    </xf>
    <xf numFmtId="43" fontId="29" fillId="0" borderId="7" xfId="1" applyFont="1" applyBorder="1" applyAlignment="1" applyProtection="1">
      <alignment horizontal="right" vertical="top" wrapText="1"/>
    </xf>
    <xf numFmtId="49" fontId="1" fillId="14" borderId="0" xfId="0" applyNumberFormat="1" applyFont="1" applyFill="1" applyAlignment="1">
      <alignment horizontal="left" wrapText="1" indent="1"/>
    </xf>
    <xf numFmtId="165" fontId="1" fillId="14" borderId="0" xfId="1" applyNumberFormat="1" applyFont="1" applyFill="1" applyBorder="1" applyProtection="1"/>
    <xf numFmtId="165" fontId="1" fillId="14" borderId="0" xfId="1" applyNumberFormat="1" applyFont="1" applyFill="1" applyBorder="1" applyAlignment="1" applyProtection="1">
      <alignment horizontal="right"/>
    </xf>
    <xf numFmtId="165" fontId="0" fillId="14" borderId="0" xfId="1" applyNumberFormat="1" applyFont="1" applyFill="1" applyProtection="1"/>
    <xf numFmtId="0" fontId="0" fillId="14" borderId="0" xfId="0" applyFill="1"/>
    <xf numFmtId="43" fontId="1" fillId="0" borderId="0" xfId="1" quotePrefix="1" applyFont="1" applyAlignment="1" applyProtection="1">
      <alignment horizontal="left" wrapText="1"/>
    </xf>
    <xf numFmtId="165" fontId="1" fillId="0" borderId="0" xfId="1" applyNumberFormat="1" applyFont="1" applyFill="1" applyBorder="1" applyAlignment="1" applyProtection="1">
      <alignment horizontal="right"/>
    </xf>
    <xf numFmtId="0" fontId="1" fillId="4" borderId="21" xfId="0" applyFont="1" applyFill="1" applyBorder="1" applyAlignment="1">
      <alignment horizontal="left" wrapText="1"/>
    </xf>
    <xf numFmtId="165" fontId="0" fillId="0" borderId="0" xfId="1" applyNumberFormat="1" applyFont="1"/>
    <xf numFmtId="49" fontId="28" fillId="0" borderId="0" xfId="1" applyNumberFormat="1" applyFont="1" applyBorder="1" applyAlignment="1" applyProtection="1">
      <alignment horizontal="right" vertical="center" wrapText="1"/>
    </xf>
    <xf numFmtId="49" fontId="18" fillId="0" borderId="0" xfId="0" applyNumberFormat="1" applyFont="1" applyAlignment="1">
      <alignment horizontal="left" vertical="center" wrapText="1"/>
    </xf>
    <xf numFmtId="0" fontId="7" fillId="0" borderId="0" xfId="4" applyFont="1" applyAlignment="1">
      <alignment horizontal="left" vertical="top" wrapText="1"/>
    </xf>
    <xf numFmtId="0" fontId="12" fillId="0" borderId="0" xfId="4" applyFont="1" applyAlignment="1">
      <alignment wrapText="1"/>
    </xf>
    <xf numFmtId="0" fontId="3" fillId="0" borderId="0" xfId="4" applyFont="1" applyAlignment="1">
      <alignment wrapText="1"/>
    </xf>
    <xf numFmtId="0" fontId="9" fillId="0" borderId="0" xfId="4" applyFont="1" applyAlignment="1">
      <alignment vertical="top"/>
    </xf>
    <xf numFmtId="0" fontId="10" fillId="0" borderId="0" xfId="4" applyFont="1" applyAlignment="1">
      <alignment wrapText="1"/>
    </xf>
    <xf numFmtId="0" fontId="10" fillId="0" borderId="0" xfId="4" applyFont="1"/>
    <xf numFmtId="0" fontId="13" fillId="0" borderId="0" xfId="4" applyFont="1"/>
    <xf numFmtId="0" fontId="1" fillId="0" borderId="0" xfId="4"/>
    <xf numFmtId="0" fontId="8" fillId="0" borderId="0" xfId="4" applyFont="1" applyAlignment="1">
      <alignment horizontal="left" vertical="top" wrapText="1"/>
    </xf>
    <xf numFmtId="0" fontId="12" fillId="0" borderId="0" xfId="4" applyFont="1" applyAlignment="1">
      <alignment horizontal="right" wrapText="1"/>
    </xf>
    <xf numFmtId="0" fontId="9" fillId="0" borderId="0" xfId="4" applyFont="1" applyAlignment="1">
      <alignment horizontal="left" vertical="top" wrapText="1"/>
    </xf>
    <xf numFmtId="0" fontId="7" fillId="0" borderId="0" xfId="4" applyFont="1" applyAlignment="1">
      <alignment vertical="top"/>
    </xf>
    <xf numFmtId="0" fontId="8" fillId="0" borderId="0" xfId="4" applyFont="1" applyAlignment="1">
      <alignment wrapText="1"/>
    </xf>
    <xf numFmtId="0" fontId="8" fillId="0" borderId="0" xfId="4" applyFont="1"/>
    <xf numFmtId="0" fontId="8" fillId="0" borderId="0" xfId="4" applyFont="1" applyAlignment="1">
      <alignment horizontal="left" wrapText="1"/>
    </xf>
    <xf numFmtId="0" fontId="14" fillId="0" borderId="0" xfId="4" applyFont="1"/>
    <xf numFmtId="164" fontId="8" fillId="0" borderId="0" xfId="2" applyNumberFormat="1" applyFont="1" applyFill="1" applyBorder="1" applyProtection="1">
      <protection locked="0"/>
    </xf>
    <xf numFmtId="0" fontId="34" fillId="0" borderId="0" xfId="4" applyFont="1" applyAlignment="1">
      <alignment vertical="top" wrapText="1"/>
    </xf>
    <xf numFmtId="0" fontId="10" fillId="0" borderId="0" xfId="4" applyFont="1" applyAlignment="1">
      <alignment horizontal="left" vertical="top"/>
    </xf>
    <xf numFmtId="0" fontId="3" fillId="0" borderId="0" xfId="4" applyFont="1" applyAlignment="1">
      <alignment horizontal="center"/>
    </xf>
    <xf numFmtId="0" fontId="9" fillId="0" borderId="0" xfId="4" applyFont="1" applyAlignment="1">
      <alignment horizontal="left" vertical="top"/>
    </xf>
    <xf numFmtId="0" fontId="9" fillId="0" borderId="0" xfId="4" applyFont="1" applyAlignment="1">
      <alignment horizontal="right" vertical="top"/>
    </xf>
    <xf numFmtId="43" fontId="36" fillId="0" borderId="1" xfId="1" applyFont="1" applyFill="1" applyBorder="1" applyAlignment="1">
      <alignment horizontal="right" wrapText="1"/>
    </xf>
    <xf numFmtId="0" fontId="36" fillId="0" borderId="1" xfId="4" applyFont="1" applyBorder="1" applyAlignment="1">
      <alignment horizontal="right" vertical="top" wrapText="1"/>
    </xf>
    <xf numFmtId="43" fontId="36" fillId="0" borderId="1" xfId="1" applyFont="1" applyBorder="1" applyAlignment="1" applyProtection="1">
      <alignment horizontal="right" wrapText="1"/>
    </xf>
    <xf numFmtId="0" fontId="3" fillId="0" borderId="0" xfId="4" applyFont="1" applyAlignment="1">
      <alignment vertical="top"/>
    </xf>
    <xf numFmtId="0" fontId="7" fillId="0" borderId="0" xfId="4" applyFont="1" applyAlignment="1">
      <alignment horizontal="right" vertical="top"/>
    </xf>
    <xf numFmtId="0" fontId="8" fillId="0" borderId="0" xfId="4" applyFont="1" applyAlignment="1">
      <alignment vertical="top" wrapText="1"/>
    </xf>
    <xf numFmtId="0" fontId="8" fillId="0" borderId="1" xfId="4" applyFont="1" applyBorder="1" applyAlignment="1">
      <alignment horizontal="right"/>
    </xf>
    <xf numFmtId="43" fontId="13" fillId="0" borderId="0" xfId="1" applyFont="1"/>
    <xf numFmtId="43" fontId="13" fillId="0" borderId="0" xfId="4" applyNumberFormat="1" applyFont="1"/>
    <xf numFmtId="0" fontId="1" fillId="0" borderId="0" xfId="4" applyAlignment="1">
      <alignment wrapText="1"/>
    </xf>
    <xf numFmtId="0" fontId="22" fillId="0" borderId="0" xfId="0" applyFont="1" applyAlignment="1">
      <alignment horizontal="left" wrapText="1"/>
    </xf>
    <xf numFmtId="0" fontId="0" fillId="0" borderId="0" xfId="0" applyAlignment="1">
      <alignment horizontal="left"/>
    </xf>
    <xf numFmtId="0" fontId="7" fillId="0" borderId="0" xfId="0" applyFont="1" applyAlignment="1">
      <alignment horizontal="left"/>
    </xf>
    <xf numFmtId="0" fontId="7" fillId="0" borderId="6" xfId="0" applyFont="1" applyBorder="1" applyAlignment="1">
      <alignment horizontal="center" vertical="top"/>
    </xf>
    <xf numFmtId="49" fontId="11" fillId="0" borderId="3" xfId="1" applyNumberFormat="1" applyFont="1" applyBorder="1" applyAlignment="1" applyProtection="1">
      <alignment wrapText="1"/>
    </xf>
    <xf numFmtId="49" fontId="11" fillId="0" borderId="0" xfId="1" applyNumberFormat="1" applyFont="1" applyBorder="1" applyAlignment="1" applyProtection="1">
      <alignment wrapText="1"/>
    </xf>
    <xf numFmtId="0" fontId="9" fillId="0" borderId="0" xfId="0" applyFont="1" applyAlignment="1">
      <alignment horizontal="left"/>
    </xf>
    <xf numFmtId="43" fontId="4" fillId="0" borderId="0" xfId="1" applyFont="1" applyBorder="1" applyAlignment="1" applyProtection="1">
      <alignment horizontal="center" wrapText="1"/>
    </xf>
    <xf numFmtId="5" fontId="25" fillId="0" borderId="0" xfId="1" applyNumberFormat="1" applyFont="1" applyFill="1" applyBorder="1" applyAlignment="1" applyProtection="1">
      <alignment horizontal="right" vertical="center"/>
    </xf>
    <xf numFmtId="49" fontId="24" fillId="0" borderId="3" xfId="1" applyNumberFormat="1" applyFont="1" applyBorder="1" applyAlignment="1" applyProtection="1">
      <alignment wrapText="1"/>
    </xf>
    <xf numFmtId="0" fontId="28" fillId="0" borderId="0" xfId="1" applyNumberFormat="1" applyFont="1" applyBorder="1" applyAlignment="1" applyProtection="1">
      <alignment horizontal="right" vertical="center" wrapText="1"/>
    </xf>
    <xf numFmtId="41" fontId="25" fillId="0" borderId="0" xfId="1" applyNumberFormat="1" applyFont="1" applyFill="1" applyBorder="1" applyAlignment="1" applyProtection="1">
      <alignment horizontal="right" vertical="center"/>
    </xf>
    <xf numFmtId="41" fontId="26" fillId="0" borderId="0" xfId="1" applyNumberFormat="1" applyFont="1" applyFill="1" applyBorder="1" applyAlignment="1" applyProtection="1">
      <alignment horizontal="right" vertical="center"/>
    </xf>
    <xf numFmtId="0" fontId="8" fillId="0" borderId="0" xfId="0" applyFont="1" applyAlignment="1">
      <alignment horizontal="left"/>
    </xf>
    <xf numFmtId="41" fontId="31" fillId="0" borderId="0" xfId="1" applyNumberFormat="1" applyFont="1" applyFill="1" applyBorder="1" applyAlignment="1" applyProtection="1">
      <alignment horizontal="right" vertical="center"/>
    </xf>
    <xf numFmtId="0" fontId="8" fillId="0" borderId="0" xfId="0" applyFont="1" applyAlignment="1">
      <alignment horizontal="left" vertical="center"/>
    </xf>
    <xf numFmtId="167" fontId="8" fillId="0" borderId="0" xfId="0" applyNumberFormat="1" applyFont="1" applyAlignment="1">
      <alignment vertical="center"/>
    </xf>
    <xf numFmtId="49" fontId="28" fillId="0" borderId="0" xfId="1" applyNumberFormat="1" applyFont="1" applyBorder="1" applyAlignment="1" applyProtection="1">
      <alignment horizontal="center" vertical="center" textRotation="90" wrapText="1"/>
    </xf>
    <xf numFmtId="0" fontId="38" fillId="0" borderId="0" xfId="1" applyNumberFormat="1" applyFont="1" applyBorder="1" applyAlignment="1" applyProtection="1">
      <alignment horizontal="right" vertical="center" wrapText="1"/>
    </xf>
    <xf numFmtId="168" fontId="39" fillId="0" borderId="0" xfId="1" applyNumberFormat="1" applyFont="1" applyFill="1" applyBorder="1" applyAlignment="1" applyProtection="1">
      <alignment horizontal="right" vertical="center"/>
    </xf>
    <xf numFmtId="5" fontId="8" fillId="0" borderId="6" xfId="1" applyNumberFormat="1" applyFont="1" applyFill="1" applyBorder="1" applyAlignment="1" applyProtection="1">
      <alignment horizontal="right" vertical="center"/>
    </xf>
    <xf numFmtId="0" fontId="8" fillId="0" borderId="0" xfId="0" applyFont="1" applyAlignment="1">
      <alignment horizontal="right" vertical="center"/>
    </xf>
    <xf numFmtId="49" fontId="7" fillId="0" borderId="3" xfId="1" applyNumberFormat="1" applyFont="1" applyBorder="1" applyAlignment="1" applyProtection="1">
      <alignment horizontal="right" vertical="center"/>
    </xf>
    <xf numFmtId="166" fontId="7" fillId="0" borderId="6" xfId="2" applyNumberFormat="1" applyFont="1" applyFill="1" applyBorder="1" applyAlignment="1" applyProtection="1">
      <alignment horizontal="right" vertical="center"/>
    </xf>
    <xf numFmtId="167" fontId="8" fillId="0" borderId="0" xfId="0" applyNumberFormat="1" applyFont="1" applyAlignment="1">
      <alignment horizontal="right" vertical="center"/>
    </xf>
    <xf numFmtId="41" fontId="8" fillId="0" borderId="0" xfId="0" applyNumberFormat="1" applyFont="1" applyAlignment="1">
      <alignment horizontal="right" vertical="center"/>
    </xf>
    <xf numFmtId="41" fontId="27" fillId="0" borderId="0" xfId="2" applyNumberFormat="1" applyFont="1" applyFill="1" applyBorder="1" applyProtection="1"/>
    <xf numFmtId="41" fontId="25" fillId="0" borderId="0" xfId="1" applyNumberFormat="1" applyFont="1" applyBorder="1" applyAlignment="1" applyProtection="1">
      <alignment horizontal="right"/>
    </xf>
    <xf numFmtId="41" fontId="26" fillId="0" borderId="0" xfId="1" applyNumberFormat="1" applyFont="1" applyBorder="1" applyProtection="1"/>
    <xf numFmtId="41" fontId="31" fillId="0" borderId="0" xfId="1" applyNumberFormat="1" applyFont="1" applyFill="1" applyBorder="1" applyProtection="1"/>
    <xf numFmtId="0" fontId="29" fillId="0" borderId="0" xfId="0" applyFont="1" applyAlignment="1">
      <alignment horizontal="right" vertical="center" wrapText="1"/>
    </xf>
    <xf numFmtId="0" fontId="0" fillId="0" borderId="0" xfId="0" applyAlignment="1">
      <alignment horizontal="center" wrapText="1"/>
    </xf>
    <xf numFmtId="165" fontId="0" fillId="0" borderId="0" xfId="1" applyNumberFormat="1" applyFont="1" applyAlignment="1" applyProtection="1"/>
    <xf numFmtId="167" fontId="1" fillId="0" borderId="0" xfId="1" applyNumberFormat="1" applyFont="1" applyFill="1" applyBorder="1" applyAlignment="1" applyProtection="1">
      <alignment horizontal="right" vertical="center"/>
    </xf>
    <xf numFmtId="168" fontId="0" fillId="0" borderId="0" xfId="0" applyNumberFormat="1"/>
    <xf numFmtId="167" fontId="0" fillId="0" borderId="0" xfId="0" applyNumberFormat="1"/>
    <xf numFmtId="0" fontId="13" fillId="0" borderId="0" xfId="0" applyFont="1" applyAlignment="1">
      <alignment horizontal="left"/>
    </xf>
    <xf numFmtId="43" fontId="1" fillId="0" borderId="1" xfId="1" applyFont="1" applyBorder="1" applyAlignment="1">
      <alignment horizontal="right"/>
    </xf>
    <xf numFmtId="43" fontId="1" fillId="0" borderId="1" xfId="1" applyFont="1" applyBorder="1"/>
    <xf numFmtId="165" fontId="1" fillId="0" borderId="0" xfId="1" applyNumberFormat="1" applyFont="1"/>
    <xf numFmtId="165" fontId="1" fillId="0" borderId="1" xfId="1" applyNumberFormat="1" applyFont="1" applyFill="1" applyBorder="1" applyAlignment="1">
      <alignment horizontal="right" vertical="center"/>
    </xf>
    <xf numFmtId="165" fontId="1" fillId="0" borderId="1" xfId="1" applyNumberFormat="1" applyFont="1" applyFill="1" applyBorder="1" applyAlignment="1">
      <alignment horizontal="center" wrapText="1"/>
    </xf>
    <xf numFmtId="165" fontId="1" fillId="0" borderId="0" xfId="1" applyNumberFormat="1" applyFont="1" applyFill="1" applyBorder="1" applyAlignment="1">
      <alignment horizontal="center"/>
    </xf>
    <xf numFmtId="166" fontId="41" fillId="0" borderId="78" xfId="0" applyNumberFormat="1" applyFont="1" applyBorder="1" applyAlignment="1">
      <alignment horizontal="center" wrapText="1"/>
    </xf>
    <xf numFmtId="166" fontId="40" fillId="0" borderId="79" xfId="0" applyNumberFormat="1" applyFont="1" applyBorder="1" applyAlignment="1">
      <alignment horizontal="center" wrapText="1"/>
    </xf>
    <xf numFmtId="166" fontId="41" fillId="0" borderId="79" xfId="0" applyNumberFormat="1" applyFont="1" applyBorder="1" applyAlignment="1">
      <alignment horizontal="center" wrapText="1"/>
    </xf>
    <xf numFmtId="10" fontId="1" fillId="0" borderId="0" xfId="3" applyNumberFormat="1" applyFont="1"/>
    <xf numFmtId="43" fontId="1" fillId="0" borderId="80" xfId="1" applyFont="1" applyBorder="1"/>
    <xf numFmtId="43" fontId="1" fillId="0" borderId="0" xfId="1" applyFont="1" applyBorder="1"/>
    <xf numFmtId="166" fontId="41" fillId="0" borderId="80" xfId="0" applyNumberFormat="1" applyFont="1" applyBorder="1" applyAlignment="1">
      <alignment horizontal="center" wrapText="1"/>
    </xf>
    <xf numFmtId="166" fontId="41" fillId="0" borderId="0" xfId="0" applyNumberFormat="1" applyFont="1" applyAlignment="1">
      <alignment horizontal="center" wrapText="1"/>
    </xf>
    <xf numFmtId="165" fontId="1" fillId="0" borderId="80" xfId="1" applyNumberFormat="1" applyFont="1" applyFill="1" applyBorder="1" applyAlignment="1">
      <alignment horizontal="center" wrapText="1"/>
    </xf>
    <xf numFmtId="165" fontId="1" fillId="0" borderId="0" xfId="1" applyNumberFormat="1" applyFont="1" applyFill="1" applyBorder="1" applyAlignment="1">
      <alignment horizontal="center" wrapText="1"/>
    </xf>
    <xf numFmtId="165" fontId="1" fillId="0" borderId="0" xfId="1" applyNumberFormat="1" applyFont="1" applyBorder="1"/>
    <xf numFmtId="43" fontId="1" fillId="0" borderId="1" xfId="1" applyFont="1" applyFill="1" applyBorder="1" applyAlignment="1">
      <alignment horizontal="right" vertical="center"/>
    </xf>
    <xf numFmtId="44" fontId="8" fillId="2" borderId="19" xfId="2" applyFont="1" applyFill="1" applyBorder="1" applyAlignment="1" applyProtection="1">
      <alignment horizontal="left"/>
      <protection locked="0"/>
    </xf>
    <xf numFmtId="44" fontId="8" fillId="2" borderId="18" xfId="2" applyFont="1" applyFill="1" applyBorder="1" applyAlignment="1" applyProtection="1">
      <alignment horizontal="left"/>
      <protection locked="0"/>
    </xf>
    <xf numFmtId="43" fontId="4" fillId="15" borderId="0" xfId="1" applyFont="1" applyFill="1" applyBorder="1" applyAlignment="1" applyProtection="1">
      <alignment horizontal="center" wrapText="1"/>
    </xf>
    <xf numFmtId="0" fontId="8" fillId="0" borderId="0" xfId="4" applyFont="1" applyAlignment="1">
      <alignment horizontal="left" vertical="top" wrapText="1"/>
    </xf>
    <xf numFmtId="0" fontId="9" fillId="0" borderId="0" xfId="0" applyFont="1" applyAlignment="1">
      <alignment horizontal="right" vertical="top"/>
    </xf>
    <xf numFmtId="0" fontId="8" fillId="0" borderId="0" xfId="0" applyFont="1" applyAlignment="1">
      <alignment horizontal="left" wrapText="1"/>
    </xf>
    <xf numFmtId="0" fontId="8" fillId="0" borderId="0" xfId="0" applyFont="1" applyAlignment="1">
      <alignment horizontal="left" vertical="top" wrapText="1"/>
    </xf>
    <xf numFmtId="0" fontId="34" fillId="0" borderId="0" xfId="4" applyFont="1" applyAlignment="1">
      <alignment horizontal="right" vertical="top" wrapText="1"/>
    </xf>
    <xf numFmtId="44" fontId="8" fillId="2" borderId="81" xfId="2" applyFont="1" applyFill="1" applyBorder="1" applyAlignment="1" applyProtection="1">
      <alignment horizontal="left"/>
      <protection locked="0"/>
    </xf>
    <xf numFmtId="44" fontId="8" fillId="2" borderId="82" xfId="2" applyFont="1" applyFill="1" applyBorder="1" applyAlignment="1" applyProtection="1">
      <alignment horizontal="left"/>
      <protection locked="0"/>
    </xf>
    <xf numFmtId="44" fontId="8" fillId="2" borderId="19" xfId="2" applyFont="1" applyFill="1" applyBorder="1" applyAlignment="1" applyProtection="1">
      <alignment horizontal="left"/>
      <protection locked="0"/>
    </xf>
    <xf numFmtId="44" fontId="8" fillId="2" borderId="18" xfId="2" applyFont="1" applyFill="1" applyBorder="1" applyAlignment="1" applyProtection="1">
      <alignment horizontal="left"/>
      <protection locked="0"/>
    </xf>
    <xf numFmtId="0" fontId="8" fillId="0" borderId="0" xfId="4" applyFont="1" applyAlignment="1">
      <alignment horizontal="left" wrapText="1"/>
    </xf>
    <xf numFmtId="0" fontId="35" fillId="0" borderId="0" xfId="4" applyFont="1" applyAlignment="1">
      <alignment horizontal="right" vertical="top" wrapText="1"/>
    </xf>
    <xf numFmtId="0" fontId="22" fillId="0" borderId="0" xfId="0" applyFont="1" applyAlignment="1">
      <alignment horizontal="left" vertical="top" wrapText="1"/>
    </xf>
    <xf numFmtId="0" fontId="8" fillId="12" borderId="19" xfId="0" applyFont="1" applyFill="1" applyBorder="1" applyAlignment="1" applyProtection="1">
      <alignment horizontal="left" vertical="top" wrapText="1"/>
      <protection locked="0"/>
    </xf>
    <xf numFmtId="0" fontId="8" fillId="12" borderId="12" xfId="0" applyFont="1" applyFill="1" applyBorder="1" applyAlignment="1" applyProtection="1">
      <alignment horizontal="left" vertical="top" wrapText="1"/>
      <protection locked="0"/>
    </xf>
    <xf numFmtId="0" fontId="8" fillId="12" borderId="18" xfId="0" applyFont="1" applyFill="1" applyBorder="1" applyAlignment="1" applyProtection="1">
      <alignment horizontal="left" vertical="top" wrapText="1"/>
      <protection locked="0"/>
    </xf>
    <xf numFmtId="0" fontId="9" fillId="0" borderId="2" xfId="4" applyFont="1" applyBorder="1" applyAlignment="1">
      <alignment horizontal="center"/>
    </xf>
    <xf numFmtId="49" fontId="18" fillId="0" borderId="0" xfId="0" applyNumberFormat="1" applyFont="1" applyAlignment="1">
      <alignment horizontal="left" vertical="center" wrapText="1"/>
    </xf>
    <xf numFmtId="0" fontId="37" fillId="0" borderId="4" xfId="0" applyFont="1" applyBorder="1" applyAlignment="1">
      <alignment horizontal="left" vertical="top" wrapText="1"/>
    </xf>
    <xf numFmtId="0" fontId="37" fillId="0" borderId="5" xfId="0" applyFont="1" applyBorder="1" applyAlignment="1">
      <alignment horizontal="left" vertical="top" wrapText="1"/>
    </xf>
    <xf numFmtId="0" fontId="37" fillId="0" borderId="8" xfId="0" applyFont="1" applyBorder="1" applyAlignment="1">
      <alignment horizontal="left" vertical="top" wrapText="1"/>
    </xf>
    <xf numFmtId="0" fontId="37" fillId="0" borderId="3" xfId="0" applyFont="1" applyBorder="1" applyAlignment="1">
      <alignment horizontal="left" vertical="top" wrapText="1"/>
    </xf>
    <xf numFmtId="0" fontId="37" fillId="0" borderId="0" xfId="0" applyFont="1" applyAlignment="1">
      <alignment horizontal="left" vertical="top" wrapText="1"/>
    </xf>
    <xf numFmtId="0" fontId="37" fillId="0" borderId="6" xfId="0" applyFont="1" applyBorder="1" applyAlignment="1">
      <alignment horizontal="left" vertical="top" wrapText="1"/>
    </xf>
    <xf numFmtId="0" fontId="7" fillId="0" borderId="3" xfId="0" applyFont="1" applyBorder="1" applyAlignment="1">
      <alignment horizontal="center" vertical="top"/>
    </xf>
    <xf numFmtId="0" fontId="7" fillId="0" borderId="0" xfId="0" applyFont="1" applyAlignment="1">
      <alignment horizontal="center" vertical="top"/>
    </xf>
    <xf numFmtId="49" fontId="28" fillId="0" borderId="71" xfId="1" applyNumberFormat="1" applyFont="1" applyBorder="1" applyAlignment="1" applyProtection="1">
      <alignment horizontal="center" vertical="center" textRotation="90" wrapText="1"/>
    </xf>
    <xf numFmtId="49" fontId="28" fillId="0" borderId="76" xfId="1" applyNumberFormat="1" applyFont="1" applyBorder="1" applyAlignment="1" applyProtection="1">
      <alignment horizontal="center" vertical="center" textRotation="90" wrapText="1"/>
    </xf>
    <xf numFmtId="49" fontId="28" fillId="0" borderId="77" xfId="1" applyNumberFormat="1" applyFont="1" applyBorder="1" applyAlignment="1" applyProtection="1">
      <alignment horizontal="center" vertical="center" textRotation="90" wrapText="1"/>
    </xf>
    <xf numFmtId="49" fontId="28" fillId="0" borderId="0" xfId="0" applyNumberFormat="1" applyFont="1" applyAlignment="1">
      <alignment horizontal="right" wrapText="1"/>
    </xf>
    <xf numFmtId="49" fontId="28" fillId="0" borderId="0" xfId="0" applyNumberFormat="1" applyFont="1" applyAlignment="1">
      <alignment horizontal="right" vertical="center" wrapText="1"/>
    </xf>
    <xf numFmtId="49" fontId="29" fillId="0" borderId="0" xfId="0" applyNumberFormat="1" applyFont="1" applyAlignment="1">
      <alignment horizontal="right" vertical="center" wrapText="1"/>
    </xf>
    <xf numFmtId="43" fontId="29" fillId="0" borderId="0" xfId="1" applyFont="1" applyBorder="1" applyAlignment="1" applyProtection="1">
      <alignment horizontal="right" vertical="top" wrapText="1"/>
    </xf>
    <xf numFmtId="49" fontId="8" fillId="0" borderId="0" xfId="1" applyNumberFormat="1" applyFont="1" applyBorder="1" applyAlignment="1" applyProtection="1">
      <alignment horizontal="left" vertical="top" wrapText="1"/>
    </xf>
    <xf numFmtId="49" fontId="8" fillId="0" borderId="7" xfId="1" applyNumberFormat="1" applyFont="1" applyBorder="1" applyAlignment="1" applyProtection="1">
      <alignment horizontal="left" vertical="top" wrapText="1"/>
    </xf>
    <xf numFmtId="43" fontId="4" fillId="11" borderId="4" xfId="1" applyFont="1" applyFill="1" applyBorder="1" applyAlignment="1" applyProtection="1">
      <alignment horizontal="center"/>
    </xf>
    <xf numFmtId="43" fontId="4" fillId="11" borderId="5" xfId="1" applyFont="1" applyFill="1" applyBorder="1" applyAlignment="1" applyProtection="1">
      <alignment horizontal="center"/>
    </xf>
    <xf numFmtId="165" fontId="1" fillId="11" borderId="10" xfId="1" applyNumberFormat="1" applyFont="1" applyFill="1" applyBorder="1" applyAlignment="1" applyProtection="1">
      <alignment horizontal="center"/>
    </xf>
    <xf numFmtId="165" fontId="1" fillId="11" borderId="62" xfId="1" applyNumberFormat="1" applyFont="1" applyFill="1" applyBorder="1" applyAlignment="1" applyProtection="1">
      <alignment horizontal="center"/>
    </xf>
    <xf numFmtId="165" fontId="1" fillId="11" borderId="63" xfId="1" applyNumberFormat="1" applyFont="1" applyFill="1" applyBorder="1" applyAlignment="1" applyProtection="1">
      <alignment horizontal="center"/>
    </xf>
    <xf numFmtId="165" fontId="1" fillId="11" borderId="66" xfId="1" applyNumberFormat="1" applyFont="1" applyFill="1" applyBorder="1" applyAlignment="1" applyProtection="1">
      <alignment horizontal="center"/>
    </xf>
    <xf numFmtId="165" fontId="1" fillId="3" borderId="67" xfId="1" applyNumberFormat="1" applyFont="1" applyFill="1" applyBorder="1" applyAlignment="1" applyProtection="1">
      <alignment horizontal="center"/>
    </xf>
    <xf numFmtId="165" fontId="1" fillId="3" borderId="68" xfId="1" applyNumberFormat="1" applyFont="1" applyFill="1" applyBorder="1" applyAlignment="1" applyProtection="1">
      <alignment horizontal="center"/>
    </xf>
    <xf numFmtId="165" fontId="1" fillId="11" borderId="67" xfId="1" applyNumberFormat="1" applyFont="1" applyFill="1" applyBorder="1" applyAlignment="1" applyProtection="1">
      <alignment horizontal="center"/>
    </xf>
    <xf numFmtId="165" fontId="1" fillId="11" borderId="69" xfId="1" applyNumberFormat="1" applyFont="1" applyFill="1" applyBorder="1" applyAlignment="1" applyProtection="1">
      <alignment horizontal="center"/>
    </xf>
    <xf numFmtId="165" fontId="1" fillId="11" borderId="68" xfId="1" applyNumberFormat="1" applyFont="1" applyFill="1" applyBorder="1" applyAlignment="1" applyProtection="1">
      <alignment horizontal="center"/>
    </xf>
    <xf numFmtId="43" fontId="4" fillId="3" borderId="4" xfId="1" applyFont="1" applyFill="1" applyBorder="1" applyAlignment="1" applyProtection="1">
      <alignment horizontal="center"/>
    </xf>
    <xf numFmtId="43" fontId="4" fillId="3" borderId="5" xfId="1" applyFont="1" applyFill="1" applyBorder="1" applyAlignment="1" applyProtection="1">
      <alignment horizontal="center"/>
    </xf>
    <xf numFmtId="165" fontId="1" fillId="3" borderId="10" xfId="1" applyNumberFormat="1" applyFont="1" applyFill="1" applyBorder="1" applyAlignment="1" applyProtection="1">
      <alignment horizontal="center"/>
    </xf>
    <xf numFmtId="165" fontId="1" fillId="3" borderId="62" xfId="1" applyNumberFormat="1" applyFont="1" applyFill="1" applyBorder="1" applyAlignment="1" applyProtection="1">
      <alignment horizontal="center"/>
    </xf>
    <xf numFmtId="165" fontId="1" fillId="3" borderId="63" xfId="1" applyNumberFormat="1" applyFont="1" applyFill="1" applyBorder="1" applyAlignment="1" applyProtection="1">
      <alignment horizontal="center"/>
    </xf>
    <xf numFmtId="165" fontId="1" fillId="3" borderId="66" xfId="1" applyNumberFormat="1" applyFont="1" applyFill="1" applyBorder="1" applyAlignment="1" applyProtection="1">
      <alignment horizontal="center"/>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 fillId="0" borderId="18" xfId="0" applyFont="1" applyBorder="1" applyAlignment="1">
      <alignment horizontal="left" vertical="top" wrapText="1"/>
    </xf>
    <xf numFmtId="0" fontId="3" fillId="0" borderId="53" xfId="0" applyFont="1" applyBorder="1" applyAlignment="1">
      <alignment horizontal="center" vertical="center" textRotation="90"/>
    </xf>
    <xf numFmtId="0" fontId="3" fillId="0" borderId="54" xfId="0" applyFont="1" applyBorder="1" applyAlignment="1">
      <alignment horizontal="center" vertical="center" textRotation="90"/>
    </xf>
    <xf numFmtId="0" fontId="3" fillId="0" borderId="55" xfId="0" applyFont="1" applyBorder="1" applyAlignment="1">
      <alignment horizontal="center" vertical="center" textRotation="90"/>
    </xf>
    <xf numFmtId="0" fontId="3" fillId="0" borderId="56" xfId="0" applyFont="1" applyBorder="1" applyAlignment="1">
      <alignment horizontal="center" vertical="center" textRotation="90"/>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cellXfs>
  <cellStyles count="5">
    <cellStyle name="Comma" xfId="1" builtinId="3"/>
    <cellStyle name="Currency" xfId="2" builtinId="4"/>
    <cellStyle name="Normal" xfId="0" builtinId="0"/>
    <cellStyle name="Normal 2" xfId="4" xr:uid="{3B8276C2-0667-4E84-8DF6-468989734F40}"/>
    <cellStyle name="Percent" xfId="3" builtinId="5"/>
  </cellStyles>
  <dxfs count="11">
    <dxf>
      <font>
        <u val="none"/>
      </font>
    </dxf>
    <dxf>
      <font>
        <color rgb="FF006600"/>
      </font>
    </dxf>
    <dxf>
      <font>
        <condense val="0"/>
        <extend val="0"/>
        <color indexed="10"/>
      </font>
    </dxf>
    <dxf>
      <font>
        <condense val="0"/>
        <extend val="0"/>
        <color indexed="10"/>
      </font>
    </dxf>
    <dxf>
      <font>
        <b/>
        <i val="0"/>
        <strike val="0"/>
        <condense val="0"/>
        <extend val="0"/>
        <outline val="0"/>
        <shadow val="0"/>
        <u val="none"/>
        <vertAlign val="baseline"/>
        <sz val="16"/>
        <color auto="1"/>
        <name val="Arial Narrow"/>
        <family val="2"/>
        <scheme val="none"/>
      </font>
      <fill>
        <patternFill patternType="solid">
          <fgColor indexed="64"/>
          <bgColor indexed="43"/>
        </patternFill>
      </fill>
      <alignment horizontal="left" vertical="top" textRotation="0" wrapText="1" indent="0" justifyLastLine="0" shrinkToFit="0" readingOrder="0"/>
      <border diagonalUp="0" diagonalDown="0" outline="0">
        <left/>
        <right/>
        <top style="thin">
          <color indexed="64"/>
        </top>
        <bottom/>
      </border>
      <protection locked="0" hidden="0"/>
    </dxf>
    <dxf>
      <font>
        <b/>
        <i val="0"/>
        <strike val="0"/>
        <condense val="0"/>
        <extend val="0"/>
        <outline val="0"/>
        <shadow val="0"/>
        <u val="none"/>
        <vertAlign val="baseline"/>
        <sz val="16"/>
        <color auto="1"/>
        <name val="Arial Narrow"/>
        <family val="2"/>
        <scheme val="none"/>
      </font>
      <fill>
        <patternFill patternType="solid">
          <fgColor indexed="64"/>
          <bgColor indexed="43"/>
        </patternFill>
      </fill>
      <alignment horizontal="left" vertical="top" textRotation="0" wrapText="1" indent="0" justifyLastLine="0" shrinkToFit="0" readingOrder="0"/>
      <border diagonalUp="0" diagonalDown="0" outline="0">
        <left/>
        <right/>
        <top style="thin">
          <color indexed="64"/>
        </top>
        <bottom/>
      </border>
      <protection locked="0" hidden="0"/>
    </dxf>
    <dxf>
      <border outline="0">
        <top style="thin">
          <color indexed="64"/>
        </top>
      </border>
    </dxf>
    <dxf>
      <border outline="0">
        <top style="thin">
          <color indexed="64"/>
        </top>
        <bottom style="thin">
          <color indexed="64"/>
        </bottom>
      </border>
    </dxf>
    <dxf>
      <font>
        <b/>
        <i val="0"/>
        <strike val="0"/>
        <condense val="0"/>
        <extend val="0"/>
        <outline val="0"/>
        <shadow val="0"/>
        <u val="none"/>
        <vertAlign val="baseline"/>
        <sz val="16"/>
        <color auto="1"/>
        <name val="Arial Narrow"/>
        <family val="2"/>
        <scheme val="none"/>
      </font>
      <fill>
        <patternFill patternType="solid">
          <fgColor indexed="64"/>
          <bgColor indexed="43"/>
        </patternFill>
      </fill>
      <alignment horizontal="left" vertical="top" textRotation="0" wrapText="1" indent="0" justifyLastLine="0" shrinkToFit="0" readingOrder="0"/>
      <protection locked="0" hidden="0"/>
    </dxf>
    <dxf>
      <border outline="0">
        <bottom style="thin">
          <color indexed="64"/>
        </bottom>
      </border>
    </dxf>
    <dxf>
      <font>
        <b val="0"/>
        <i val="0"/>
        <strike val="0"/>
        <condense val="0"/>
        <extend val="0"/>
        <outline val="0"/>
        <shadow val="0"/>
        <u val="none"/>
        <vertAlign val="baseline"/>
        <sz val="16"/>
        <color auto="1"/>
        <name val="Arial Narrow"/>
        <family val="2"/>
        <scheme val="none"/>
      </font>
      <fill>
        <patternFill patternType="solid">
          <fgColor indexed="64"/>
          <bgColor indexed="43"/>
        </patternFill>
      </fill>
      <alignment horizontal="left" vertical="bottom" textRotation="0" wrapText="0" indent="0" justifyLastLine="0" shrinkToFit="0" readingOrder="0"/>
      <protection locked="0" hidden="0"/>
    </dxf>
  </dxfs>
  <tableStyles count="0" defaultTableStyle="TableStyleMedium2" defaultPivotStyle="PivotStyleLight16"/>
  <colors>
    <mruColors>
      <color rgb="FF006600"/>
      <color rgb="FF77933C"/>
      <color rgb="FFFFFF66"/>
      <color rgb="FF3760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a:pPr>
            <a:r>
              <a:rPr lang="en-US" sz="3600"/>
              <a:t>Range of Savings or (Net Costs)</a:t>
            </a:r>
            <a:endParaRPr lang="en-US" sz="2000"/>
          </a:p>
        </c:rich>
      </c:tx>
      <c:overlay val="0"/>
      <c:spPr>
        <a:noFill/>
      </c:spPr>
    </c:title>
    <c:autoTitleDeleted val="0"/>
    <c:plotArea>
      <c:layout>
        <c:manualLayout>
          <c:layoutTarget val="inner"/>
          <c:xMode val="edge"/>
          <c:yMode val="edge"/>
          <c:x val="1.5725629635278644E-2"/>
          <c:y val="0.12554256842462164"/>
          <c:w val="0.96813239976358889"/>
          <c:h val="0.60436627947458121"/>
        </c:manualLayout>
      </c:layout>
      <c:barChart>
        <c:barDir val="col"/>
        <c:grouping val="clustered"/>
        <c:varyColors val="0"/>
        <c:ser>
          <c:idx val="2"/>
          <c:order val="0"/>
          <c:tx>
            <c:v>Best Case:  Preventive Care, Only</c:v>
          </c:tx>
          <c:spPr>
            <a:solidFill>
              <a:schemeClr val="accent3">
                <a:lumMod val="75000"/>
                <a:alpha val="80000"/>
              </a:schemeClr>
            </a:solidFill>
            <a:ln>
              <a:solidFill>
                <a:schemeClr val="tx1">
                  <a:lumMod val="85000"/>
                  <a:lumOff val="15000"/>
                </a:schemeClr>
              </a:solidFill>
            </a:ln>
          </c:spPr>
          <c:invertIfNegative val="0"/>
          <c:dLbls>
            <c:spPr>
              <a:noFill/>
              <a:ln>
                <a:noFill/>
              </a:ln>
              <a:effectLst/>
            </c:spPr>
            <c:txPr>
              <a:bodyPr rot="-5400000" vert="horz" wrap="square" lIns="38100" tIns="19050" rIns="38100" bIns="19050" anchor="ctr">
                <a:spAutoFit/>
              </a:bodyPr>
              <a:lstStyle/>
              <a:p>
                <a:pPr>
                  <a:defRPr sz="1800" b="1">
                    <a:solidFill>
                      <a:sysClr val="windowText" lastClr="000000"/>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Results!$D$51:$J$51</c:f>
              <c:strCache>
                <c:ptCount val="7"/>
                <c:pt idx="0">
                  <c:v>MEC $9000 + 80% J $30</c:v>
                </c:pt>
                <c:pt idx="1">
                  <c:v>80% J $30 + MEC $9000</c:v>
                </c:pt>
                <c:pt idx="2">
                  <c:v>0 + 0</c:v>
                </c:pt>
                <c:pt idx="3">
                  <c:v>0 + 0</c:v>
                </c:pt>
                <c:pt idx="4">
                  <c:v>0 + 0</c:v>
                </c:pt>
                <c:pt idx="5">
                  <c:v>0 + 0</c:v>
                </c:pt>
                <c:pt idx="6">
                  <c:v>0 + 0</c:v>
                </c:pt>
              </c:strCache>
            </c:strRef>
          </c:cat>
          <c:val>
            <c:numRef>
              <c:f>Results!$D$56:$J$56</c:f>
              <c:numCache>
                <c:formatCode>_(* #,##0_);_(* \(#,##0\);_(* "-"??_);_(@_)</c:formatCode>
                <c:ptCount val="7"/>
                <c:pt idx="0">
                  <c:v>11649</c:v>
                </c:pt>
                <c:pt idx="1">
                  <c:v>11649</c:v>
                </c:pt>
                <c:pt idx="2">
                  <c:v>#N/A</c:v>
                </c:pt>
                <c:pt idx="3">
                  <c:v>#N/A</c:v>
                </c:pt>
                <c:pt idx="4">
                  <c:v>#N/A</c:v>
                </c:pt>
                <c:pt idx="5">
                  <c:v>#N/A</c:v>
                </c:pt>
                <c:pt idx="6">
                  <c:v>#N/A</c:v>
                </c:pt>
              </c:numCache>
            </c:numRef>
          </c:val>
          <c:extLst>
            <c:ext xmlns:c16="http://schemas.microsoft.com/office/drawing/2014/chart" uri="{C3380CC4-5D6E-409C-BE32-E72D297353CC}">
              <c16:uniqueId val="{00000000-684E-4D05-9BCE-ABB24148E373}"/>
            </c:ext>
          </c:extLst>
        </c:ser>
        <c:ser>
          <c:idx val="1"/>
          <c:order val="1"/>
          <c:tx>
            <c:v>Expected Use:  As Input</c:v>
          </c:tx>
          <c:spPr>
            <a:solidFill>
              <a:srgbClr val="FFFF00">
                <a:alpha val="60000"/>
              </a:srgbClr>
            </a:solidFill>
            <a:ln>
              <a:solidFill>
                <a:schemeClr val="accent3">
                  <a:lumMod val="50000"/>
                </a:schemeClr>
              </a:solidFill>
            </a:ln>
          </c:spPr>
          <c:invertIfNegative val="0"/>
          <c:dLbls>
            <c:spPr>
              <a:noFill/>
              <a:ln>
                <a:noFill/>
              </a:ln>
              <a:effectLst/>
            </c:spPr>
            <c:txPr>
              <a:bodyPr rot="-5400000" vertOverflow="overflow" horzOverflow="overflow" vert="horz" wrap="none" lIns="38100" tIns="19050" rIns="38100" bIns="19050" anchor="ctr" anchorCtr="0">
                <a:spAutoFit/>
              </a:bodyPr>
              <a:lstStyle/>
              <a:p>
                <a:pPr algn="l">
                  <a:defRPr sz="1800" b="1">
                    <a:solidFill>
                      <a:sysClr val="windowText" lastClr="000000"/>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Results!$D$51:$J$51</c:f>
              <c:strCache>
                <c:ptCount val="7"/>
                <c:pt idx="0">
                  <c:v>MEC $9000 + 80% J $30</c:v>
                </c:pt>
                <c:pt idx="1">
                  <c:v>80% J $30 + MEC $9000</c:v>
                </c:pt>
                <c:pt idx="2">
                  <c:v>0 + 0</c:v>
                </c:pt>
                <c:pt idx="3">
                  <c:v>0 + 0</c:v>
                </c:pt>
                <c:pt idx="4">
                  <c:v>0 + 0</c:v>
                </c:pt>
                <c:pt idx="5">
                  <c:v>0 + 0</c:v>
                </c:pt>
                <c:pt idx="6">
                  <c:v>0 + 0</c:v>
                </c:pt>
              </c:strCache>
            </c:strRef>
          </c:cat>
          <c:val>
            <c:numRef>
              <c:f>Results!$D$58:$J$58</c:f>
              <c:numCache>
                <c:formatCode>_(* #,##0_);_(* \(#,##0\);_(* "-"??_);_(@_)</c:formatCode>
                <c:ptCount val="7"/>
                <c:pt idx="0">
                  <c:v>11649</c:v>
                </c:pt>
                <c:pt idx="1">
                  <c:v>11649</c:v>
                </c:pt>
                <c:pt idx="2">
                  <c:v>#N/A</c:v>
                </c:pt>
                <c:pt idx="3">
                  <c:v>#N/A</c:v>
                </c:pt>
                <c:pt idx="4">
                  <c:v>#N/A</c:v>
                </c:pt>
                <c:pt idx="5">
                  <c:v>#N/A</c:v>
                </c:pt>
                <c:pt idx="6">
                  <c:v>#N/A</c:v>
                </c:pt>
              </c:numCache>
            </c:numRef>
          </c:val>
          <c:extLst>
            <c:ext xmlns:c16="http://schemas.microsoft.com/office/drawing/2014/chart" uri="{C3380CC4-5D6E-409C-BE32-E72D297353CC}">
              <c16:uniqueId val="{00000001-684E-4D05-9BCE-ABB24148E373}"/>
            </c:ext>
          </c:extLst>
        </c:ser>
        <c:ser>
          <c:idx val="0"/>
          <c:order val="2"/>
          <c:tx>
            <c:v>Worst Case:  Maximum Out of Pocket Reached</c:v>
          </c:tx>
          <c:spPr>
            <a:pattFill prst="ltUpDiag">
              <a:fgClr>
                <a:srgbClr val="C00000"/>
              </a:fgClr>
              <a:bgClr>
                <a:schemeClr val="bg1"/>
              </a:bgClr>
            </a:pattFill>
            <a:ln>
              <a:solidFill>
                <a:schemeClr val="tx2">
                  <a:lumMod val="50000"/>
                </a:schemeClr>
              </a:solidFill>
            </a:ln>
          </c:spPr>
          <c:invertIfNegative val="0"/>
          <c:dLbls>
            <c:spPr>
              <a:noFill/>
              <a:ln>
                <a:noFill/>
              </a:ln>
              <a:effectLst/>
            </c:spPr>
            <c:txPr>
              <a:bodyPr rot="0" vert="horz" wrap="square" lIns="38100" tIns="19050" rIns="38100" bIns="19050" anchor="ctr">
                <a:spAutoFit/>
              </a:bodyPr>
              <a:lstStyle/>
              <a:p>
                <a:pPr>
                  <a:defRPr sz="1800" b="1">
                    <a:solidFill>
                      <a:sysClr val="windowText" lastClr="000000"/>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Results!$D$51:$J$51</c:f>
              <c:strCache>
                <c:ptCount val="7"/>
                <c:pt idx="0">
                  <c:v>MEC $9000 + 80% J $30</c:v>
                </c:pt>
                <c:pt idx="1">
                  <c:v>80% J $30 + MEC $9000</c:v>
                </c:pt>
                <c:pt idx="2">
                  <c:v>0 + 0</c:v>
                </c:pt>
                <c:pt idx="3">
                  <c:v>0 + 0</c:v>
                </c:pt>
                <c:pt idx="4">
                  <c:v>0 + 0</c:v>
                </c:pt>
                <c:pt idx="5">
                  <c:v>0 + 0</c:v>
                </c:pt>
                <c:pt idx="6">
                  <c:v>0 + 0</c:v>
                </c:pt>
              </c:strCache>
            </c:strRef>
          </c:cat>
          <c:val>
            <c:numRef>
              <c:f>Results!$D$63:$J$63</c:f>
              <c:numCache>
                <c:formatCode>_("$"\ #,##0_);_("$"\ \(#,##0\);;</c:formatCode>
                <c:ptCount val="7"/>
                <c:pt idx="0">
                  <c:v>10616</c:v>
                </c:pt>
                <c:pt idx="1">
                  <c:v>10616</c:v>
                </c:pt>
                <c:pt idx="2">
                  <c:v>#N/A</c:v>
                </c:pt>
                <c:pt idx="3">
                  <c:v>#N/A</c:v>
                </c:pt>
                <c:pt idx="4">
                  <c:v>#N/A</c:v>
                </c:pt>
                <c:pt idx="5">
                  <c:v>#N/A</c:v>
                </c:pt>
                <c:pt idx="6">
                  <c:v>#N/A</c:v>
                </c:pt>
              </c:numCache>
            </c:numRef>
          </c:val>
          <c:extLst>
            <c:ext xmlns:c16="http://schemas.microsoft.com/office/drawing/2014/chart" uri="{C3380CC4-5D6E-409C-BE32-E72D297353CC}">
              <c16:uniqueId val="{00000002-684E-4D05-9BCE-ABB24148E373}"/>
            </c:ext>
          </c:extLst>
        </c:ser>
        <c:dLbls>
          <c:showLegendKey val="0"/>
          <c:showVal val="0"/>
          <c:showCatName val="0"/>
          <c:showSerName val="0"/>
          <c:showPercent val="0"/>
          <c:showBubbleSize val="0"/>
        </c:dLbls>
        <c:gapWidth val="75"/>
        <c:axId val="167298272"/>
        <c:axId val="167299392"/>
      </c:barChart>
      <c:catAx>
        <c:axId val="167298272"/>
        <c:scaling>
          <c:orientation val="minMax"/>
        </c:scaling>
        <c:delete val="0"/>
        <c:axPos val="b"/>
        <c:numFmt formatCode="General" sourceLinked="1"/>
        <c:majorTickMark val="out"/>
        <c:minorTickMark val="none"/>
        <c:tickLblPos val="low"/>
        <c:spPr>
          <a:ln w="28575" cmpd="sng">
            <a:solidFill>
              <a:schemeClr val="accent3">
                <a:lumMod val="50000"/>
              </a:schemeClr>
            </a:solidFill>
            <a:prstDash val="solid"/>
          </a:ln>
        </c:spPr>
        <c:txPr>
          <a:bodyPr/>
          <a:lstStyle/>
          <a:p>
            <a:pPr>
              <a:defRPr sz="1600" b="1">
                <a:solidFill>
                  <a:sysClr val="windowText" lastClr="000000"/>
                </a:solidFill>
              </a:defRPr>
            </a:pPr>
            <a:endParaRPr lang="en-US"/>
          </a:p>
        </c:txPr>
        <c:crossAx val="167299392"/>
        <c:crossesAt val="0"/>
        <c:auto val="1"/>
        <c:lblAlgn val="ctr"/>
        <c:lblOffset val="100"/>
        <c:noMultiLvlLbl val="0"/>
      </c:catAx>
      <c:valAx>
        <c:axId val="167299392"/>
        <c:scaling>
          <c:orientation val="minMax"/>
        </c:scaling>
        <c:delete val="1"/>
        <c:axPos val="l"/>
        <c:numFmt formatCode="&quot;$&quot;#,##0" sourceLinked="0"/>
        <c:majorTickMark val="cross"/>
        <c:minorTickMark val="none"/>
        <c:tickLblPos val="nextTo"/>
        <c:crossAx val="167298272"/>
        <c:crosses val="autoZero"/>
        <c:crossBetween val="between"/>
      </c:valAx>
      <c:spPr>
        <a:noFill/>
        <a:ln w="25400">
          <a:noFill/>
        </a:ln>
      </c:spPr>
    </c:plotArea>
    <c:legend>
      <c:legendPos val="t"/>
      <c:layout>
        <c:manualLayout>
          <c:xMode val="edge"/>
          <c:yMode val="edge"/>
          <c:x val="2.6322186421612547E-3"/>
          <c:y val="0.90121591634955667"/>
          <c:w val="0.99035663444611799"/>
          <c:h val="7.8940110859844939E-2"/>
        </c:manualLayout>
      </c:layout>
      <c:overlay val="0"/>
      <c:spPr>
        <a:ln>
          <a:solidFill>
            <a:schemeClr val="tx1">
              <a:lumMod val="50000"/>
              <a:lumOff val="50000"/>
            </a:schemeClr>
          </a:solidFill>
        </a:ln>
      </c:spPr>
      <c:txPr>
        <a:bodyPr anchor="ctr" anchorCtr="0"/>
        <a:lstStyle/>
        <a:p>
          <a:pPr>
            <a:defRPr sz="2000"/>
          </a:pPr>
          <a:endParaRPr lang="en-US"/>
        </a:p>
      </c:txPr>
    </c:legend>
    <c:plotVisOnly val="0"/>
    <c:dispBlanksAs val="gap"/>
    <c:showDLblsOverMax val="0"/>
  </c:chart>
  <c:spPr>
    <a:solidFill>
      <a:schemeClr val="lt1"/>
    </a:solidFill>
    <a:ln w="25400"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alignWithMargins="0"/>
    <c:pageMargins b="1" l="0.75000000000000011" r="0.75000000000000011" t="1" header="0.5" footer="0.5"/>
    <c:pageSetup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400050</xdr:colOff>
      <xdr:row>0</xdr:row>
      <xdr:rowOff>0</xdr:rowOff>
    </xdr:from>
    <xdr:to>
      <xdr:col>10</xdr:col>
      <xdr:colOff>171450</xdr:colOff>
      <xdr:row>2</xdr:row>
      <xdr:rowOff>57150</xdr:rowOff>
    </xdr:to>
    <xdr:sp macro="" textlink="">
      <xdr:nvSpPr>
        <xdr:cNvPr id="2" name="Explosion 2 6">
          <a:extLst>
            <a:ext uri="{FF2B5EF4-FFF2-40B4-BE49-F238E27FC236}">
              <a16:creationId xmlns:a16="http://schemas.microsoft.com/office/drawing/2014/main" id="{42778427-953B-4CDC-A23E-A8B0B2A9D013}"/>
            </a:ext>
          </a:extLst>
        </xdr:cNvPr>
        <xdr:cNvSpPr/>
      </xdr:nvSpPr>
      <xdr:spPr>
        <a:xfrm>
          <a:off x="8067675" y="0"/>
          <a:ext cx="6172200" cy="1352550"/>
        </a:xfrm>
        <a:prstGeom prst="irregularSeal2">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600" b="1">
              <a:solidFill>
                <a:schemeClr val="lt1"/>
              </a:solidFill>
              <a:effectLst/>
              <a:latin typeface="+mn-lt"/>
              <a:ea typeface="+mn-ea"/>
              <a:cs typeface="+mn-cs"/>
            </a:rPr>
            <a:t>DEADLINE:</a:t>
          </a:r>
          <a:r>
            <a:rPr lang="en-US" sz="1600" b="1" baseline="0">
              <a:solidFill>
                <a:schemeClr val="lt1"/>
              </a:solidFill>
              <a:effectLst/>
              <a:latin typeface="+mn-lt"/>
              <a:ea typeface="+mn-ea"/>
              <a:cs typeface="+mn-cs"/>
            </a:rPr>
            <a:t> input changes at www.vbas.com by 3PM 7/13</a:t>
          </a:r>
          <a:endParaRPr lang="en-US" sz="1400" b="1"/>
        </a:p>
      </xdr:txBody>
    </xdr:sp>
    <xdr:clientData/>
  </xdr:twoCellAnchor>
  <xdr:twoCellAnchor editAs="oneCell">
    <xdr:from>
      <xdr:col>8</xdr:col>
      <xdr:colOff>594506</xdr:colOff>
      <xdr:row>29</xdr:row>
      <xdr:rowOff>30859</xdr:rowOff>
    </xdr:from>
    <xdr:to>
      <xdr:col>10</xdr:col>
      <xdr:colOff>95250</xdr:colOff>
      <xdr:row>33</xdr:row>
      <xdr:rowOff>514565</xdr:rowOff>
    </xdr:to>
    <xdr:pic>
      <xdr:nvPicPr>
        <xdr:cNvPr id="3" name="Picture 2">
          <a:extLst>
            <a:ext uri="{FF2B5EF4-FFF2-40B4-BE49-F238E27FC236}">
              <a16:creationId xmlns:a16="http://schemas.microsoft.com/office/drawing/2014/main" id="{BC497FC5-6E7B-4B30-9BED-F2E16B6091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2487149" y="11909895"/>
          <a:ext cx="1623458" cy="1626706"/>
        </a:xfrm>
        <a:prstGeom prst="rect">
          <a:avLst/>
        </a:prstGeom>
      </xdr:spPr>
    </xdr:pic>
    <xdr:clientData/>
  </xdr:twoCellAnchor>
  <xdr:twoCellAnchor>
    <xdr:from>
      <xdr:col>0</xdr:col>
      <xdr:colOff>0</xdr:colOff>
      <xdr:row>34</xdr:row>
      <xdr:rowOff>0</xdr:rowOff>
    </xdr:from>
    <xdr:to>
      <xdr:col>11</xdr:col>
      <xdr:colOff>36022</xdr:colOff>
      <xdr:row>44</xdr:row>
      <xdr:rowOff>0</xdr:rowOff>
    </xdr:to>
    <xdr:graphicFrame macro="">
      <xdr:nvGraphicFramePr>
        <xdr:cNvPr id="4" name="Chart 1">
          <a:extLst>
            <a:ext uri="{FF2B5EF4-FFF2-40B4-BE49-F238E27FC236}">
              <a16:creationId xmlns:a16="http://schemas.microsoft.com/office/drawing/2014/main" id="{588007FB-C982-4681-B9D9-8F31AF1FC5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0.83324</cdr:x>
      <cdr:y>0.39602</cdr:y>
    </cdr:from>
    <cdr:to>
      <cdr:x>0.97631</cdr:x>
      <cdr:y>0.94218</cdr:y>
    </cdr:to>
    <cdr:sp macro="" textlink="">
      <cdr:nvSpPr>
        <cdr:cNvPr id="2" name="TextBox 1"/>
        <cdr:cNvSpPr txBox="1"/>
      </cdr:nvSpPr>
      <cdr:spPr>
        <a:xfrm xmlns:a="http://schemas.openxmlformats.org/drawingml/2006/main">
          <a:off x="12203906" y="2166938"/>
          <a:ext cx="2095500" cy="298846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10</xdr:col>
      <xdr:colOff>390525</xdr:colOff>
      <xdr:row>1</xdr:row>
      <xdr:rowOff>257175</xdr:rowOff>
    </xdr:from>
    <xdr:to>
      <xdr:col>14</xdr:col>
      <xdr:colOff>438150</xdr:colOff>
      <xdr:row>11</xdr:row>
      <xdr:rowOff>180975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0639425" y="457200"/>
          <a:ext cx="2486025" cy="192405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list must be sorted alpha order.</a:t>
          </a:r>
        </a:p>
        <a:p>
          <a:endParaRPr lang="en-US" sz="1100"/>
        </a:p>
        <a:p>
          <a:r>
            <a:rPr lang="en-US" sz="1100"/>
            <a:t>copy</a:t>
          </a:r>
          <a:r>
            <a:rPr lang="en-US" sz="1100" baseline="0"/>
            <a:t> elected plan titles from MasterMenu.</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57150</xdr:colOff>
      <xdr:row>1</xdr:row>
      <xdr:rowOff>38100</xdr:rowOff>
    </xdr:from>
    <xdr:to>
      <xdr:col>10</xdr:col>
      <xdr:colOff>104775</xdr:colOff>
      <xdr:row>9</xdr:row>
      <xdr:rowOff>161925</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5734050" y="238125"/>
          <a:ext cx="2486025" cy="192405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lists must be sorted alpha</a:t>
          </a: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butteschoolsjpa.sharepoint.com/sites/BSSPJPA/Shared%20Documents/JPA/Fiscal%2022-23/Benefits/Open%20Enrollment/2022%20Plan%20Cost%20Calculator%20Double%20Coverage.xlsm" TargetMode="External"/><Relationship Id="rId1" Type="http://schemas.openxmlformats.org/officeDocument/2006/relationships/externalLinkPath" Target="/sites/BSSPJPA/Shared%20Documents/JPA/Fiscal%2022-23/Benefits/Open%20Enrollment/2022%20Plan%20Cost%20Calculator%20Double%20Coverag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User Input"/>
      <sheetName val="Results"/>
      <sheetName val="Estimated Costs"/>
      <sheetName val="UnitMenu"/>
      <sheetName val="MasterMenu"/>
      <sheetName val="Sheet2"/>
      <sheetName val="Other "/>
    </sheetNames>
    <sheetDataSet>
      <sheetData sheetId="0">
        <row r="23">
          <cell r="D23">
            <v>150</v>
          </cell>
        </row>
      </sheetData>
      <sheetData sheetId="1"/>
      <sheetData sheetId="2"/>
      <sheetData sheetId="3"/>
      <sheetData sheetId="4"/>
      <sheetData sheetId="5"/>
      <sheetData sheetId="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24B4218-006E-49DB-B5AD-01D1C9BD860E}" name="Table1" displayName="Table1" ref="F5:G6" totalsRowShown="0" headerRowDxfId="10" dataDxfId="8" headerRowBorderDxfId="9" tableBorderDxfId="7" totalsRowBorderDxfId="6" headerRowCellStyle="Currency" dataCellStyle="Normal 2">
  <autoFilter ref="F5:G6" xr:uid="{824B4218-006E-49DB-B5AD-01D1C9BD860E}"/>
  <tableColumns count="2">
    <tableColumn id="1" xr3:uid="{C57734F8-2D4E-4267-A475-59394D504E71}" name="Bangor" dataDxfId="5" dataCellStyle="Normal 2"/>
    <tableColumn id="2" xr3:uid="{CDFD5EE3-1982-4413-96BC-C0B02EF005BC}" name="Column2" dataDxfId="4" dataCellStyle="Normal 2"/>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4A7F0-9FDB-4BDD-8445-9856834ADE87}">
  <sheetPr codeName="Sheet2">
    <tabColor rgb="FFFFFF00"/>
    <pageSetUpPr fitToPage="1"/>
  </sheetPr>
  <dimension ref="A1:AD42"/>
  <sheetViews>
    <sheetView showGridLines="0" topLeftCell="C2" zoomScaleNormal="100" workbookViewId="0">
      <selection activeCell="E29" sqref="E29:F29"/>
    </sheetView>
  </sheetViews>
  <sheetFormatPr defaultColWidth="9.140625" defaultRowHeight="15.75" x14ac:dyDescent="0.25"/>
  <cols>
    <col min="1" max="2" width="3.7109375" style="295" customWidth="1"/>
    <col min="3" max="3" width="100.85546875" style="301" customWidth="1"/>
    <col min="4" max="5" width="15" style="277" customWidth="1"/>
    <col min="6" max="7" width="15.5703125" style="277" customWidth="1"/>
    <col min="8" max="10" width="15" style="277" customWidth="1"/>
    <col min="11" max="11" width="13.140625" style="276" hidden="1" customWidth="1"/>
    <col min="12" max="12" width="9.140625" style="276" hidden="1" customWidth="1"/>
    <col min="13" max="13" width="14.85546875" style="276" hidden="1" customWidth="1"/>
    <col min="14" max="14" width="10.42578125" style="276" hidden="1" customWidth="1"/>
    <col min="15" max="17" width="9.140625" style="276" hidden="1" customWidth="1"/>
    <col min="18" max="18" width="9.140625" style="276" customWidth="1"/>
    <col min="19" max="24" width="9.140625" style="277" customWidth="1"/>
    <col min="25" max="16384" width="9.140625" style="277"/>
  </cols>
  <sheetData>
    <row r="1" spans="1:21" s="203" customFormat="1" ht="120.75" customHeight="1" x14ac:dyDescent="0.35">
      <c r="A1" s="371" t="s">
        <v>185</v>
      </c>
      <c r="B1" s="371"/>
      <c r="C1" s="371"/>
      <c r="D1" s="371"/>
      <c r="E1" s="371"/>
      <c r="F1" s="371"/>
      <c r="G1" s="371"/>
      <c r="H1" s="371"/>
      <c r="I1" s="371"/>
      <c r="J1" s="371"/>
      <c r="K1" s="214"/>
      <c r="L1" s="214"/>
      <c r="M1" s="215"/>
      <c r="N1" s="215"/>
      <c r="O1" s="215"/>
      <c r="P1" s="215"/>
      <c r="Q1" s="215"/>
      <c r="R1" s="215"/>
      <c r="S1" s="215"/>
      <c r="T1" s="215"/>
      <c r="U1" s="215"/>
    </row>
    <row r="2" spans="1:21" s="203" customFormat="1" ht="24" x14ac:dyDescent="0.35">
      <c r="B2" s="204"/>
      <c r="C2" s="205" t="s">
        <v>146</v>
      </c>
      <c r="D2" s="372" t="s">
        <v>214</v>
      </c>
      <c r="E2" s="373"/>
      <c r="F2" s="373"/>
      <c r="G2" s="373"/>
      <c r="H2" s="373"/>
      <c r="I2" s="374"/>
      <c r="J2" s="206"/>
      <c r="K2" s="214"/>
      <c r="L2" s="214"/>
      <c r="M2" s="215"/>
      <c r="N2" s="215"/>
      <c r="O2" s="215"/>
      <c r="P2" s="215"/>
      <c r="Q2" s="215"/>
      <c r="R2" s="215"/>
      <c r="S2" s="215"/>
      <c r="T2" s="215"/>
      <c r="U2" s="215"/>
    </row>
    <row r="3" spans="1:21" s="272" customFormat="1" ht="20.25" x14ac:dyDescent="0.25">
      <c r="A3" s="270"/>
      <c r="B3" s="270"/>
      <c r="C3" s="270"/>
      <c r="D3" s="270"/>
      <c r="E3" s="270"/>
      <c r="F3" s="270"/>
      <c r="G3" s="270"/>
      <c r="H3" s="270"/>
      <c r="I3" s="270"/>
      <c r="J3" s="270"/>
      <c r="K3" s="271"/>
      <c r="L3" s="271"/>
      <c r="M3" s="271"/>
      <c r="N3" s="271"/>
      <c r="O3" s="271"/>
      <c r="P3" s="271"/>
      <c r="Q3" s="271"/>
      <c r="R3" s="271"/>
    </row>
    <row r="4" spans="1:21" ht="18" x14ac:dyDescent="0.25">
      <c r="A4" s="273"/>
      <c r="B4" s="273"/>
      <c r="C4" s="274"/>
      <c r="D4" s="275"/>
      <c r="E4" s="275"/>
      <c r="F4" s="375"/>
      <c r="G4" s="375"/>
      <c r="H4" s="275"/>
      <c r="I4" s="375"/>
      <c r="J4" s="375"/>
      <c r="N4" s="271"/>
    </row>
    <row r="5" spans="1:21" s="272" customFormat="1" ht="20.25" x14ac:dyDescent="0.3">
      <c r="A5" s="273">
        <v>1</v>
      </c>
      <c r="B5" s="360" t="s">
        <v>27</v>
      </c>
      <c r="C5" s="360"/>
      <c r="D5" s="364" t="s">
        <v>104</v>
      </c>
      <c r="E5" s="364"/>
      <c r="F5" s="357" t="s">
        <v>169</v>
      </c>
      <c r="G5" s="358" t="s">
        <v>213</v>
      </c>
      <c r="H5" s="270"/>
      <c r="I5" s="367" t="s">
        <v>17</v>
      </c>
      <c r="J5" s="368"/>
      <c r="K5" s="279" t="s">
        <v>42</v>
      </c>
      <c r="L5" s="272">
        <v>0</v>
      </c>
      <c r="M5" s="279" t="s">
        <v>42</v>
      </c>
      <c r="N5" s="272">
        <v>0.25</v>
      </c>
      <c r="O5" s="271"/>
      <c r="P5" s="271"/>
      <c r="Q5" s="271"/>
      <c r="R5" s="271"/>
    </row>
    <row r="6" spans="1:21" s="272" customFormat="1" ht="20.25" x14ac:dyDescent="0.25">
      <c r="A6" s="273"/>
      <c r="B6" s="278"/>
      <c r="C6" s="278"/>
      <c r="D6" s="364"/>
      <c r="E6" s="364"/>
      <c r="F6" s="270"/>
      <c r="G6" s="270"/>
      <c r="H6" s="270"/>
      <c r="I6" s="270"/>
      <c r="J6" s="270"/>
      <c r="K6" s="280"/>
      <c r="L6" s="271"/>
      <c r="M6" s="271"/>
      <c r="N6" s="271"/>
      <c r="O6" s="271"/>
      <c r="P6" s="271"/>
      <c r="Q6" s="271"/>
      <c r="R6" s="271"/>
    </row>
    <row r="7" spans="1:21" s="272" customFormat="1" ht="20.25" x14ac:dyDescent="0.3">
      <c r="A7" s="273">
        <v>2</v>
      </c>
      <c r="B7" s="360" t="s">
        <v>76</v>
      </c>
      <c r="C7" s="360"/>
      <c r="D7" s="364" t="s">
        <v>104</v>
      </c>
      <c r="E7" s="364"/>
      <c r="F7" s="365" t="s">
        <v>0</v>
      </c>
      <c r="G7" s="366"/>
      <c r="H7" s="270"/>
      <c r="I7" s="367" t="s">
        <v>0</v>
      </c>
      <c r="J7" s="368"/>
      <c r="K7" s="271"/>
      <c r="L7" s="271"/>
      <c r="M7" s="271"/>
      <c r="N7" s="271"/>
      <c r="O7" s="271"/>
      <c r="P7" s="271"/>
      <c r="Q7" s="271"/>
      <c r="R7" s="271"/>
    </row>
    <row r="8" spans="1:21" ht="20.25" x14ac:dyDescent="0.3">
      <c r="A8" s="273"/>
      <c r="B8" s="281"/>
      <c r="C8" s="282"/>
      <c r="D8" s="364"/>
      <c r="E8" s="364"/>
      <c r="F8" s="283"/>
      <c r="G8" s="283"/>
      <c r="H8" s="283"/>
      <c r="I8" s="283"/>
      <c r="J8" s="283"/>
      <c r="N8" s="271"/>
    </row>
    <row r="9" spans="1:21" ht="36" customHeight="1" x14ac:dyDescent="0.3">
      <c r="A9" s="273">
        <v>3</v>
      </c>
      <c r="B9" s="369" t="s">
        <v>28</v>
      </c>
      <c r="C9" s="369"/>
      <c r="D9" s="369"/>
      <c r="E9" s="369"/>
      <c r="F9" s="282"/>
      <c r="G9" s="82">
        <v>1208.33</v>
      </c>
      <c r="H9" s="282"/>
      <c r="I9" s="285"/>
      <c r="J9" s="82">
        <v>1775.38</v>
      </c>
      <c r="N9" s="271"/>
    </row>
    <row r="10" spans="1:21" ht="20.25" x14ac:dyDescent="0.3">
      <c r="A10" s="273"/>
      <c r="B10" s="281"/>
      <c r="C10" s="284"/>
      <c r="D10" s="283"/>
      <c r="E10" s="283"/>
      <c r="F10" s="285"/>
      <c r="G10" s="286"/>
      <c r="H10" s="285"/>
      <c r="I10" s="285"/>
      <c r="J10" s="286"/>
      <c r="N10" s="271"/>
    </row>
    <row r="11" spans="1:21" ht="18" customHeight="1" x14ac:dyDescent="0.3">
      <c r="A11" s="273">
        <v>4</v>
      </c>
      <c r="B11" s="369" t="s">
        <v>15</v>
      </c>
      <c r="C11" s="369"/>
      <c r="D11" s="369"/>
      <c r="E11" s="369"/>
      <c r="F11" s="370" t="s">
        <v>104</v>
      </c>
      <c r="G11" s="83" t="s">
        <v>6</v>
      </c>
      <c r="H11" s="282"/>
      <c r="I11" s="283"/>
      <c r="J11" s="83" t="s">
        <v>6</v>
      </c>
      <c r="N11" s="271"/>
    </row>
    <row r="12" spans="1:21" ht="20.25" x14ac:dyDescent="0.3">
      <c r="A12" s="273"/>
      <c r="B12" s="281"/>
      <c r="C12" s="282"/>
      <c r="D12" s="283"/>
      <c r="E12" s="283"/>
      <c r="F12" s="370"/>
      <c r="G12" s="287"/>
      <c r="H12" s="283"/>
      <c r="I12" s="283"/>
      <c r="J12" s="283"/>
      <c r="N12" s="271"/>
    </row>
    <row r="13" spans="1:21" ht="18" x14ac:dyDescent="0.25">
      <c r="A13" s="273">
        <v>5</v>
      </c>
      <c r="B13" s="288" t="s">
        <v>186</v>
      </c>
      <c r="C13" s="288"/>
      <c r="D13" s="289" t="s">
        <v>187</v>
      </c>
      <c r="E13" s="289" t="s">
        <v>188</v>
      </c>
      <c r="F13" s="289" t="s">
        <v>189</v>
      </c>
      <c r="G13" s="289" t="s">
        <v>190</v>
      </c>
      <c r="H13" s="289" t="s">
        <v>191</v>
      </c>
      <c r="I13" s="289" t="s">
        <v>192</v>
      </c>
      <c r="J13" s="289" t="s">
        <v>193</v>
      </c>
      <c r="N13" s="271"/>
    </row>
    <row r="14" spans="1:21" ht="38.25" customHeight="1" x14ac:dyDescent="0.3">
      <c r="A14" s="273"/>
      <c r="B14" s="290"/>
      <c r="C14" s="291" t="s">
        <v>194</v>
      </c>
      <c r="D14" s="83" t="s">
        <v>183</v>
      </c>
      <c r="E14" s="83" t="s">
        <v>178</v>
      </c>
      <c r="F14" s="83"/>
      <c r="G14" s="83"/>
      <c r="H14" s="83"/>
      <c r="I14" s="83"/>
      <c r="J14" s="83"/>
      <c r="N14" s="271"/>
    </row>
    <row r="15" spans="1:21" ht="38.25" customHeight="1" x14ac:dyDescent="0.3">
      <c r="A15" s="273"/>
      <c r="B15" s="281"/>
      <c r="C15" s="291" t="s">
        <v>195</v>
      </c>
      <c r="D15" s="83" t="s">
        <v>178</v>
      </c>
      <c r="E15" s="83" t="s">
        <v>183</v>
      </c>
      <c r="F15" s="83"/>
      <c r="G15" s="83"/>
      <c r="H15" s="83"/>
      <c r="I15" s="83"/>
      <c r="J15" s="83"/>
      <c r="N15" s="271"/>
    </row>
    <row r="16" spans="1:21" ht="20.25" x14ac:dyDescent="0.3">
      <c r="A16" s="273"/>
      <c r="B16" s="281"/>
      <c r="C16" s="282"/>
      <c r="D16" s="283"/>
      <c r="E16" s="283"/>
      <c r="F16" s="283"/>
      <c r="G16" s="283"/>
      <c r="H16" s="283"/>
      <c r="I16" s="283"/>
      <c r="J16" s="283"/>
      <c r="N16" s="271"/>
    </row>
    <row r="17" spans="1:22" ht="39" x14ac:dyDescent="0.3">
      <c r="A17" s="273">
        <v>6</v>
      </c>
      <c r="B17" s="360" t="s">
        <v>74</v>
      </c>
      <c r="C17" s="360"/>
      <c r="D17" s="292" t="s">
        <v>78</v>
      </c>
      <c r="E17" s="293" t="s">
        <v>196</v>
      </c>
      <c r="F17" s="293" t="s">
        <v>197</v>
      </c>
      <c r="G17" s="294" t="s">
        <v>2</v>
      </c>
      <c r="H17" s="294" t="s">
        <v>3</v>
      </c>
      <c r="I17" s="294" t="s">
        <v>4</v>
      </c>
      <c r="J17" s="294" t="s">
        <v>5</v>
      </c>
      <c r="N17" s="271"/>
    </row>
    <row r="18" spans="1:22" ht="20.25" customHeight="1" x14ac:dyDescent="0.3">
      <c r="B18" s="296" t="s">
        <v>36</v>
      </c>
      <c r="C18" s="297" t="s">
        <v>194</v>
      </c>
      <c r="D18" s="298" t="s">
        <v>79</v>
      </c>
      <c r="E18" s="84" t="s">
        <v>6</v>
      </c>
      <c r="F18" s="84" t="s">
        <v>6</v>
      </c>
      <c r="G18" s="83" t="s">
        <v>215</v>
      </c>
      <c r="H18" s="83" t="s">
        <v>215</v>
      </c>
      <c r="I18" s="83"/>
      <c r="J18" s="83"/>
      <c r="L18" s="299">
        <f t="shared" ref="L18:P19" si="0">IF(F18="Yes",1,0)</f>
        <v>1</v>
      </c>
      <c r="M18" s="299">
        <f t="shared" si="0"/>
        <v>1</v>
      </c>
      <c r="N18" s="299">
        <f t="shared" si="0"/>
        <v>1</v>
      </c>
      <c r="O18" s="299">
        <f t="shared" si="0"/>
        <v>0</v>
      </c>
      <c r="P18" s="299">
        <f t="shared" si="0"/>
        <v>0</v>
      </c>
      <c r="Q18" s="300">
        <f>SUM(L18:P18)</f>
        <v>3</v>
      </c>
    </row>
    <row r="19" spans="1:22" ht="20.25" customHeight="1" x14ac:dyDescent="0.3">
      <c r="A19" s="273"/>
      <c r="B19" s="296" t="s">
        <v>37</v>
      </c>
      <c r="C19" s="297" t="s">
        <v>195</v>
      </c>
      <c r="D19" s="298" t="s">
        <v>79</v>
      </c>
      <c r="E19" s="84" t="s">
        <v>6</v>
      </c>
      <c r="F19" s="84" t="s">
        <v>6</v>
      </c>
      <c r="G19" s="83" t="s">
        <v>215</v>
      </c>
      <c r="H19" s="83" t="s">
        <v>215</v>
      </c>
      <c r="I19" s="83"/>
      <c r="J19" s="83"/>
      <c r="L19" s="299">
        <f t="shared" si="0"/>
        <v>1</v>
      </c>
      <c r="M19" s="299">
        <f t="shared" si="0"/>
        <v>1</v>
      </c>
      <c r="N19" s="299">
        <f t="shared" si="0"/>
        <v>1</v>
      </c>
      <c r="O19" s="299">
        <f t="shared" si="0"/>
        <v>0</v>
      </c>
      <c r="P19" s="299">
        <f t="shared" si="0"/>
        <v>0</v>
      </c>
      <c r="Q19" s="300">
        <f>SUM(L19:P19)</f>
        <v>3</v>
      </c>
    </row>
    <row r="20" spans="1:22" ht="40.5" customHeight="1" x14ac:dyDescent="0.3">
      <c r="A20" s="273"/>
      <c r="B20" s="281"/>
      <c r="C20" s="282"/>
      <c r="D20" s="85"/>
      <c r="E20" s="85"/>
      <c r="F20" s="221"/>
      <c r="G20" s="221"/>
      <c r="H20" s="221"/>
      <c r="I20" s="221"/>
      <c r="J20" s="221"/>
      <c r="K20" s="299"/>
      <c r="L20" s="276" t="str">
        <f>+CONCATENATE(Tier1,Tier2)</f>
        <v>CompositeComposite</v>
      </c>
      <c r="M20" s="299"/>
      <c r="N20" s="299"/>
      <c r="O20" s="299"/>
    </row>
    <row r="21" spans="1:22" customFormat="1" ht="20.25" x14ac:dyDescent="0.3">
      <c r="A21" s="361">
        <v>6</v>
      </c>
      <c r="B21" s="362" t="s">
        <v>134</v>
      </c>
      <c r="C21" s="362"/>
      <c r="D21" s="219"/>
      <c r="E21" s="221"/>
      <c r="F21" s="221"/>
      <c r="G21" s="221"/>
      <c r="H21" s="221"/>
      <c r="I21" s="221"/>
      <c r="J21" s="221"/>
      <c r="K21" s="221"/>
      <c r="L21" s="221"/>
      <c r="M21" s="222"/>
      <c r="N21" s="220"/>
      <c r="O21" s="220"/>
      <c r="P21" s="220"/>
      <c r="Q21" s="220"/>
      <c r="R21" s="217"/>
      <c r="S21" s="217"/>
      <c r="T21" s="217"/>
      <c r="U21" s="217"/>
      <c r="V21" s="20"/>
    </row>
    <row r="22" spans="1:22" customFormat="1" ht="42.75" customHeight="1" x14ac:dyDescent="0.25">
      <c r="A22" s="361"/>
      <c r="B22" s="362"/>
      <c r="C22" s="362"/>
      <c r="D22" s="223" t="s">
        <v>145</v>
      </c>
      <c r="M22" s="224"/>
      <c r="N22" s="224"/>
      <c r="O22" s="224"/>
      <c r="P22" s="224"/>
      <c r="Q22" s="224"/>
      <c r="R22" s="217"/>
      <c r="S22" s="217"/>
      <c r="T22" s="217"/>
      <c r="U22" s="217"/>
      <c r="V22" s="20"/>
    </row>
    <row r="23" spans="1:22" customFormat="1" ht="22.5" customHeight="1" x14ac:dyDescent="0.3">
      <c r="A23" s="216"/>
      <c r="B23" s="225" t="s">
        <v>36</v>
      </c>
      <c r="C23" s="218" t="s">
        <v>135</v>
      </c>
      <c r="D23" s="150">
        <v>150</v>
      </c>
      <c r="E23" s="86"/>
      <c r="F23" s="86"/>
      <c r="G23" s="86"/>
      <c r="H23" s="86"/>
      <c r="I23" s="86"/>
      <c r="J23" s="86"/>
      <c r="K23" s="151"/>
      <c r="L23" s="151"/>
      <c r="M23" s="217"/>
      <c r="N23" s="217"/>
      <c r="O23" s="217"/>
      <c r="P23" s="217"/>
      <c r="Q23" s="217"/>
      <c r="R23" s="217"/>
      <c r="S23" s="217"/>
      <c r="T23" s="217"/>
      <c r="U23" s="217"/>
      <c r="V23" s="20"/>
    </row>
    <row r="24" spans="1:22" customFormat="1" ht="45" customHeight="1" x14ac:dyDescent="0.3">
      <c r="A24" s="216"/>
      <c r="B24" s="225" t="s">
        <v>37</v>
      </c>
      <c r="C24" s="218" t="s">
        <v>136</v>
      </c>
      <c r="D24" s="150">
        <v>25</v>
      </c>
      <c r="E24" s="86"/>
      <c r="F24" s="86"/>
      <c r="G24" s="86"/>
      <c r="H24" s="86"/>
      <c r="I24" s="86"/>
      <c r="J24" s="86"/>
      <c r="K24" s="151"/>
      <c r="L24" s="151"/>
      <c r="M24" s="217"/>
      <c r="N24" s="217"/>
      <c r="O24" s="217"/>
      <c r="P24" s="217"/>
      <c r="Q24" s="217"/>
      <c r="R24" s="217"/>
      <c r="S24" s="217"/>
      <c r="T24" s="217"/>
      <c r="U24" s="217"/>
      <c r="V24" s="20"/>
    </row>
    <row r="25" spans="1:22" customFormat="1" ht="22.5" customHeight="1" x14ac:dyDescent="0.3">
      <c r="A25" s="216"/>
      <c r="B25" s="225" t="s">
        <v>38</v>
      </c>
      <c r="C25" s="218" t="s">
        <v>198</v>
      </c>
      <c r="D25" s="150">
        <v>48</v>
      </c>
      <c r="E25" s="86"/>
      <c r="F25" s="86"/>
      <c r="G25" s="86"/>
      <c r="H25" s="86"/>
      <c r="I25" s="86"/>
      <c r="J25" s="86"/>
      <c r="K25" s="151"/>
      <c r="L25" s="151"/>
      <c r="M25" s="217"/>
      <c r="N25" s="217"/>
      <c r="O25" s="217"/>
      <c r="P25" s="217"/>
      <c r="Q25" s="217"/>
      <c r="R25" s="217"/>
      <c r="S25" s="217"/>
      <c r="T25" s="217"/>
      <c r="U25" s="217"/>
      <c r="V25" s="20"/>
    </row>
    <row r="26" spans="1:22" customFormat="1" ht="22.5" customHeight="1" x14ac:dyDescent="0.3">
      <c r="A26" s="216"/>
      <c r="B26" s="225" t="s">
        <v>39</v>
      </c>
      <c r="C26" s="218" t="s">
        <v>164</v>
      </c>
      <c r="D26" s="150">
        <v>150</v>
      </c>
      <c r="E26" s="86"/>
      <c r="F26" s="86"/>
      <c r="G26" s="86"/>
      <c r="H26" s="86"/>
      <c r="I26" s="86"/>
      <c r="J26" s="86"/>
      <c r="K26" s="151"/>
      <c r="L26" s="151"/>
      <c r="M26" s="217"/>
      <c r="N26" s="217"/>
      <c r="O26" s="217"/>
      <c r="P26" s="217"/>
      <c r="Q26" s="217"/>
      <c r="R26" s="217"/>
      <c r="S26" s="217"/>
      <c r="T26" s="217"/>
      <c r="U26" s="217"/>
      <c r="V26" s="20"/>
    </row>
    <row r="27" spans="1:22" customFormat="1" ht="45" customHeight="1" x14ac:dyDescent="0.3">
      <c r="A27" s="216"/>
      <c r="B27" s="225" t="s">
        <v>40</v>
      </c>
      <c r="C27" s="218" t="s">
        <v>161</v>
      </c>
      <c r="D27" s="150">
        <v>150</v>
      </c>
      <c r="E27" s="86"/>
      <c r="F27" s="86"/>
      <c r="G27" s="86"/>
      <c r="H27" s="86"/>
      <c r="I27" s="86"/>
      <c r="J27" s="86"/>
      <c r="K27" s="151"/>
      <c r="L27" s="151"/>
      <c r="M27" s="217"/>
      <c r="N27" s="217"/>
      <c r="O27" s="217"/>
      <c r="P27" s="217"/>
      <c r="Q27" s="217"/>
      <c r="R27" s="217"/>
      <c r="S27" s="217"/>
      <c r="T27" s="217"/>
      <c r="U27" s="217"/>
      <c r="V27" s="20"/>
    </row>
    <row r="28" spans="1:22" customFormat="1" ht="20.25" x14ac:dyDescent="0.3">
      <c r="A28" s="216"/>
      <c r="B28" s="225" t="s">
        <v>41</v>
      </c>
      <c r="C28" s="218" t="s">
        <v>141</v>
      </c>
      <c r="D28" s="150">
        <v>150</v>
      </c>
      <c r="E28" s="86"/>
      <c r="F28" s="86"/>
      <c r="G28" s="86"/>
      <c r="H28" s="86"/>
      <c r="I28" s="86"/>
      <c r="J28" s="86"/>
      <c r="K28" s="151"/>
      <c r="L28" s="151"/>
      <c r="M28" s="217"/>
      <c r="N28" s="217"/>
      <c r="O28" s="217"/>
      <c r="P28" s="217"/>
      <c r="Q28" s="217"/>
      <c r="R28" s="217"/>
      <c r="S28" s="217"/>
      <c r="T28" s="217"/>
      <c r="U28" s="217"/>
      <c r="V28" s="20"/>
    </row>
    <row r="29" spans="1:22" customFormat="1" ht="20.25" x14ac:dyDescent="0.3">
      <c r="A29" s="216"/>
      <c r="B29" s="225" t="s">
        <v>91</v>
      </c>
      <c r="C29" s="218" t="s">
        <v>138</v>
      </c>
      <c r="D29" s="150">
        <v>40000</v>
      </c>
      <c r="E29" s="86"/>
      <c r="F29" s="86"/>
      <c r="G29" s="86"/>
      <c r="H29" s="86"/>
      <c r="I29" s="86"/>
      <c r="J29" s="86"/>
      <c r="K29" s="151"/>
      <c r="L29" s="151"/>
      <c r="M29" s="217"/>
      <c r="N29" s="217"/>
      <c r="O29" s="217"/>
      <c r="P29" s="217"/>
      <c r="Q29" s="217"/>
      <c r="R29" s="217"/>
      <c r="S29" s="217"/>
      <c r="T29" s="217"/>
      <c r="U29" s="217"/>
      <c r="V29" s="20"/>
    </row>
    <row r="30" spans="1:22" customFormat="1" ht="22.5" customHeight="1" x14ac:dyDescent="0.3">
      <c r="A30" s="216"/>
      <c r="B30" s="225" t="s">
        <v>119</v>
      </c>
      <c r="C30" s="218" t="s">
        <v>137</v>
      </c>
      <c r="D30" s="150">
        <v>3500</v>
      </c>
      <c r="E30" s="86"/>
      <c r="F30" s="86"/>
      <c r="G30" s="86"/>
      <c r="H30" s="86"/>
      <c r="I30" s="86"/>
      <c r="J30" s="86"/>
      <c r="K30" s="151"/>
      <c r="L30" s="151"/>
      <c r="M30" s="217"/>
      <c r="N30" s="217"/>
      <c r="O30" s="217"/>
      <c r="P30" s="217"/>
      <c r="Q30" s="217"/>
      <c r="R30" s="217"/>
      <c r="S30" s="217"/>
      <c r="T30" s="217"/>
      <c r="U30" s="217"/>
      <c r="V30" s="20"/>
    </row>
    <row r="31" spans="1:22" customFormat="1" ht="40.5" x14ac:dyDescent="0.3">
      <c r="A31" s="216"/>
      <c r="B31" s="225" t="s">
        <v>106</v>
      </c>
      <c r="C31" s="218" t="s">
        <v>140</v>
      </c>
      <c r="D31" s="150" t="s">
        <v>142</v>
      </c>
      <c r="E31" s="149"/>
      <c r="F31" s="149"/>
      <c r="G31" s="149"/>
      <c r="H31" s="149"/>
      <c r="I31" s="149"/>
      <c r="J31" s="149"/>
      <c r="K31" s="171"/>
      <c r="L31" s="171"/>
      <c r="M31" s="217"/>
      <c r="N31" s="217"/>
      <c r="O31" s="217"/>
      <c r="P31" s="217"/>
      <c r="Q31" s="217"/>
      <c r="R31" s="217"/>
      <c r="S31" s="217"/>
      <c r="T31" s="217"/>
      <c r="U31" s="217"/>
      <c r="V31" s="20"/>
    </row>
    <row r="32" spans="1:22" customFormat="1" ht="40.5" x14ac:dyDescent="0.3">
      <c r="A32" s="216"/>
      <c r="B32" s="225" t="s">
        <v>162</v>
      </c>
      <c r="C32" s="218" t="s">
        <v>139</v>
      </c>
      <c r="D32" s="150">
        <v>30000</v>
      </c>
      <c r="E32" s="86"/>
      <c r="F32" s="86"/>
      <c r="G32" s="86"/>
      <c r="H32" s="86"/>
      <c r="I32" s="86"/>
      <c r="J32" s="86"/>
      <c r="K32" s="151"/>
      <c r="L32" s="151"/>
      <c r="M32" s="217"/>
      <c r="N32" s="217"/>
      <c r="O32" s="217"/>
      <c r="P32" s="217"/>
      <c r="Q32" s="217"/>
      <c r="R32" s="217"/>
      <c r="S32" s="217"/>
      <c r="T32" s="217"/>
      <c r="U32" s="217"/>
      <c r="V32" s="20"/>
    </row>
    <row r="33" spans="1:30" customFormat="1" ht="20.25" x14ac:dyDescent="0.3">
      <c r="A33" s="216"/>
      <c r="B33" s="225"/>
      <c r="C33" s="218"/>
      <c r="D33" s="151"/>
      <c r="E33" s="151"/>
      <c r="F33" s="151"/>
      <c r="G33" s="151"/>
      <c r="H33" s="151"/>
      <c r="I33" s="151"/>
      <c r="J33" s="151"/>
      <c r="K33" s="151"/>
      <c r="L33" s="151"/>
      <c r="M33" s="217"/>
      <c r="N33" s="217"/>
      <c r="O33" s="217"/>
      <c r="P33" s="217"/>
      <c r="Q33" s="217"/>
      <c r="R33" s="217"/>
      <c r="S33" s="217"/>
      <c r="T33" s="217"/>
      <c r="U33" s="217"/>
      <c r="V33" s="20"/>
    </row>
    <row r="34" spans="1:30" customFormat="1" ht="40.5" customHeight="1" x14ac:dyDescent="0.3">
      <c r="A34" s="216">
        <v>7</v>
      </c>
      <c r="B34" s="363" t="s">
        <v>143</v>
      </c>
      <c r="C34" s="363"/>
      <c r="D34" s="151"/>
      <c r="E34" s="151"/>
      <c r="F34" s="151"/>
      <c r="G34" s="151"/>
      <c r="H34" s="151"/>
      <c r="I34" s="151"/>
      <c r="J34" s="151"/>
      <c r="K34" s="151"/>
      <c r="L34" s="151"/>
      <c r="M34" s="217"/>
      <c r="N34" s="217"/>
      <c r="O34" s="217"/>
      <c r="P34" s="217"/>
      <c r="Q34" s="217"/>
      <c r="R34" s="217"/>
      <c r="S34" s="217"/>
      <c r="T34" s="217"/>
      <c r="U34" s="217"/>
      <c r="V34" s="20"/>
    </row>
    <row r="35" spans="1:30" customFormat="1" ht="20.25" x14ac:dyDescent="0.3">
      <c r="A35" s="216"/>
      <c r="B35" s="225" t="s">
        <v>36</v>
      </c>
      <c r="C35" s="218" t="s">
        <v>108</v>
      </c>
      <c r="D35" s="152">
        <v>15</v>
      </c>
      <c r="E35" s="86"/>
      <c r="F35" s="86"/>
      <c r="G35" s="86"/>
      <c r="H35" s="86"/>
      <c r="I35" s="86"/>
      <c r="J35" s="86"/>
      <c r="K35" s="151"/>
      <c r="L35" s="151"/>
      <c r="M35" s="217"/>
      <c r="N35" s="217"/>
      <c r="O35" s="217"/>
      <c r="P35" s="217"/>
      <c r="Q35" s="217"/>
      <c r="R35" s="217"/>
      <c r="S35" s="217"/>
      <c r="T35" s="217"/>
      <c r="U35" s="217"/>
      <c r="V35" s="20"/>
      <c r="AD35" s="20"/>
    </row>
    <row r="36" spans="1:30" customFormat="1" ht="40.5" x14ac:dyDescent="0.3">
      <c r="A36" s="216"/>
      <c r="B36" s="225" t="s">
        <v>37</v>
      </c>
      <c r="C36" s="218" t="s">
        <v>113</v>
      </c>
      <c r="D36" s="152">
        <v>20</v>
      </c>
      <c r="E36" s="86"/>
      <c r="F36" s="86"/>
      <c r="G36" s="86"/>
      <c r="H36" s="86"/>
      <c r="I36" s="86"/>
      <c r="J36" s="86"/>
      <c r="K36" s="151"/>
      <c r="L36" s="151"/>
      <c r="M36" s="217"/>
      <c r="N36" s="217"/>
      <c r="O36" s="217"/>
      <c r="P36" s="217"/>
      <c r="Q36" s="217"/>
      <c r="R36" s="217"/>
      <c r="S36" s="217"/>
      <c r="T36" s="217"/>
      <c r="U36" s="217"/>
      <c r="V36" s="20"/>
      <c r="AD36" s="20"/>
    </row>
    <row r="37" spans="1:30" customFormat="1" ht="40.5" x14ac:dyDescent="0.3">
      <c r="A37" s="216"/>
      <c r="B37" s="225" t="s">
        <v>38</v>
      </c>
      <c r="C37" s="218" t="s">
        <v>109</v>
      </c>
      <c r="D37" s="152">
        <v>250</v>
      </c>
      <c r="E37" s="86"/>
      <c r="F37" s="86"/>
      <c r="G37" s="86"/>
      <c r="H37" s="86"/>
      <c r="I37" s="86"/>
      <c r="J37" s="86"/>
      <c r="K37" s="151"/>
      <c r="L37" s="151"/>
      <c r="M37" s="217"/>
      <c r="N37" s="217"/>
      <c r="O37" s="217"/>
      <c r="P37" s="217"/>
      <c r="Q37" s="217"/>
      <c r="R37" s="217"/>
      <c r="S37" s="217"/>
      <c r="T37" s="217"/>
      <c r="U37" s="217"/>
      <c r="V37" s="20"/>
      <c r="AD37" s="20"/>
    </row>
    <row r="38" spans="1:30" customFormat="1" ht="23.25" customHeight="1" x14ac:dyDescent="0.3">
      <c r="A38" s="216"/>
      <c r="B38" s="225" t="s">
        <v>39</v>
      </c>
      <c r="C38" s="218" t="s">
        <v>107</v>
      </c>
      <c r="D38" s="152">
        <v>60</v>
      </c>
      <c r="E38" s="86"/>
      <c r="F38" s="86"/>
      <c r="G38" s="86"/>
      <c r="H38" s="86"/>
      <c r="I38" s="86"/>
      <c r="J38" s="86"/>
      <c r="K38" s="151"/>
      <c r="L38" s="151"/>
      <c r="M38" s="217"/>
      <c r="N38" s="217"/>
      <c r="O38" s="217"/>
      <c r="P38" s="217"/>
      <c r="Q38" s="217"/>
      <c r="R38" s="217"/>
      <c r="S38" s="217"/>
      <c r="T38" s="217"/>
      <c r="U38" s="217"/>
      <c r="V38" s="20"/>
      <c r="AD38" s="20"/>
    </row>
    <row r="39" spans="1:30" customFormat="1" ht="20.25" x14ac:dyDescent="0.3">
      <c r="A39" s="216"/>
      <c r="B39" s="225" t="s">
        <v>40</v>
      </c>
      <c r="C39" s="218" t="s">
        <v>110</v>
      </c>
      <c r="D39" s="152">
        <v>90</v>
      </c>
      <c r="E39" s="86"/>
      <c r="F39" s="86"/>
      <c r="G39" s="86"/>
      <c r="H39" s="86"/>
      <c r="I39" s="86"/>
      <c r="J39" s="86"/>
      <c r="K39" s="151"/>
      <c r="L39" s="151"/>
      <c r="M39" s="217"/>
      <c r="N39" s="217"/>
      <c r="O39" s="217"/>
      <c r="P39" s="217"/>
      <c r="Q39" s="217"/>
      <c r="R39" s="217"/>
      <c r="S39" s="217"/>
      <c r="T39" s="217"/>
      <c r="U39" s="217"/>
      <c r="V39" s="20"/>
      <c r="AD39" s="20"/>
    </row>
    <row r="40" spans="1:30" customFormat="1" ht="23.25" customHeight="1" x14ac:dyDescent="0.3">
      <c r="A40" s="216"/>
      <c r="B40" s="225" t="s">
        <v>41</v>
      </c>
      <c r="C40" s="218" t="s">
        <v>151</v>
      </c>
      <c r="D40" s="152">
        <v>1000</v>
      </c>
      <c r="E40" s="86"/>
      <c r="F40" s="86"/>
      <c r="G40" s="86"/>
      <c r="H40" s="86"/>
      <c r="I40" s="86"/>
      <c r="J40" s="86"/>
      <c r="K40" s="151"/>
      <c r="L40" s="151"/>
      <c r="M40" s="217"/>
      <c r="N40" s="217"/>
      <c r="O40" s="217"/>
      <c r="P40" s="217"/>
      <c r="Q40" s="217"/>
      <c r="R40" s="217"/>
      <c r="S40" s="217"/>
      <c r="T40" s="217"/>
      <c r="U40" s="217"/>
      <c r="V40" s="20"/>
      <c r="AD40" s="20"/>
    </row>
    <row r="41" spans="1:30" customFormat="1" ht="43.5" customHeight="1" x14ac:dyDescent="0.3">
      <c r="A41" s="216"/>
      <c r="B41" s="225" t="s">
        <v>91</v>
      </c>
      <c r="C41" s="218" t="s">
        <v>152</v>
      </c>
      <c r="D41" s="152">
        <v>1500</v>
      </c>
      <c r="E41" s="86"/>
      <c r="F41" s="86"/>
      <c r="G41" s="86"/>
      <c r="H41" s="86"/>
      <c r="I41" s="86"/>
      <c r="J41" s="86"/>
      <c r="K41" s="151"/>
      <c r="L41" s="151"/>
      <c r="M41" s="217"/>
      <c r="N41" s="217"/>
      <c r="O41" s="217"/>
      <c r="P41" s="217"/>
      <c r="Q41" s="217"/>
      <c r="R41" s="217"/>
      <c r="S41" s="217"/>
      <c r="T41" s="217"/>
      <c r="U41" s="217"/>
      <c r="V41" s="20"/>
      <c r="AD41" s="20"/>
    </row>
    <row r="42" spans="1:30" x14ac:dyDescent="0.25">
      <c r="A42" s="277"/>
      <c r="B42" s="277"/>
      <c r="C42" s="277"/>
    </row>
  </sheetData>
  <mergeCells count="18">
    <mergeCell ref="A1:J1"/>
    <mergeCell ref="D2:I2"/>
    <mergeCell ref="F4:G4"/>
    <mergeCell ref="I4:J4"/>
    <mergeCell ref="B5:C5"/>
    <mergeCell ref="D5:E6"/>
    <mergeCell ref="I5:J5"/>
    <mergeCell ref="D7:E8"/>
    <mergeCell ref="F7:G7"/>
    <mergeCell ref="I7:J7"/>
    <mergeCell ref="B9:E9"/>
    <mergeCell ref="B11:E11"/>
    <mergeCell ref="F11:F12"/>
    <mergeCell ref="B17:C17"/>
    <mergeCell ref="A21:A22"/>
    <mergeCell ref="B21:C22"/>
    <mergeCell ref="B34:C34"/>
    <mergeCell ref="B7:C7"/>
  </mergeCells>
  <phoneticPr fontId="2" type="noConversion"/>
  <conditionalFormatting sqref="E21:L21">
    <cfRule type="cellIs" dxfId="3" priority="2" stopIfTrue="1" operator="greaterThan">
      <formula>0</formula>
    </cfRule>
  </conditionalFormatting>
  <conditionalFormatting sqref="F20:J20">
    <cfRule type="cellIs" dxfId="2" priority="1" stopIfTrue="1" operator="greaterThan">
      <formula>0</formula>
    </cfRule>
  </conditionalFormatting>
  <dataValidations count="8">
    <dataValidation type="whole" allowBlank="1" showInputMessage="1" showErrorMessage="1" sqref="E32:L32 E23:L30" xr:uid="{955713E4-D470-493F-A5A9-7417B369C07C}">
      <formula1>0</formula1>
      <formula2>366</formula2>
    </dataValidation>
    <dataValidation type="whole" allowBlank="1" showInputMessage="1" showErrorMessage="1" sqref="E31:L31" xr:uid="{F9E8FC73-B57E-4DE0-8E0F-C7EF52895E32}">
      <formula1>0</formula1>
      <formula2>100000</formula2>
    </dataValidation>
    <dataValidation type="list" allowBlank="1" showInputMessage="1" showErrorMessage="1" sqref="Y7:Y8" xr:uid="{2D57EB74-2636-49AB-AC70-FACC6B61977F}">
      <formula1>"plans"</formula1>
    </dataValidation>
    <dataValidation type="decimal" showInputMessage="1" showErrorMessage="1" sqref="J9 G9" xr:uid="{181C78B6-2887-4901-969E-1690F970E066}">
      <formula1>0</formula1>
      <formula2>3000</formula2>
    </dataValidation>
    <dataValidation type="whole" showInputMessage="1" showErrorMessage="1" prompt="You must input a number between 0 and 366 in this cell." sqref="D33:D34 E33:L41" xr:uid="{A471ABD0-D34A-4377-A59B-252030A48DCD}">
      <formula1>0</formula1>
      <formula2>366</formula2>
    </dataValidation>
    <dataValidation type="list" allowBlank="1" showInputMessage="1" showErrorMessage="1" sqref="F7:G7 I7:J7" xr:uid="{50A37831-F396-4C7B-BA77-00C9189D342D}">
      <formula1>Status</formula1>
    </dataValidation>
    <dataValidation type="list" allowBlank="1" showInputMessage="1" showErrorMessage="1" sqref="J11 G11 G18:J19" xr:uid="{09DE68C8-FF91-47B9-B577-F1ACEF1ED536}">
      <formula1>YesNo</formula1>
    </dataValidation>
    <dataValidation type="list" allowBlank="1" showInputMessage="1" showErrorMessage="1" sqref="I5:J5 F5:G5" xr:uid="{11D8A16B-AD99-4775-8393-63FA183B8679}">
      <formula1>units</formula1>
    </dataValidation>
  </dataValidations>
  <printOptions horizontalCentered="1" verticalCentered="1"/>
  <pageMargins left="0.32" right="0.33" top="0.78" bottom="0.35" header="0.17" footer="0.2"/>
  <pageSetup scale="47" orientation="portrait" r:id="rId1"/>
  <headerFooter alignWithMargins="0">
    <oddHeader>&amp;C&amp;"Arial Narrow,Bold"&amp;20Butte Schools Self-Funded Programs
Double-Covered Plan Cost Estimator
For benefits elections effective October 1, 2022</oddHeader>
    <oddFooter>&amp;R&amp;8&amp;D, &amp;T</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8F93E389-5339-4504-B68E-8EBC2AA3FFDB}">
          <x14:formula1>
            <xm:f>Sheet2!$A$2:$A$11</xm:f>
          </x14:formula1>
          <xm:sqref>D14:J15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544E2-442E-4B0B-8A3B-E0AAE2C587A1}">
  <sheetPr codeName="Sheet1">
    <tabColor rgb="FF92D050"/>
    <pageSetUpPr fitToPage="1"/>
  </sheetPr>
  <dimension ref="A1:Y64"/>
  <sheetViews>
    <sheetView showGridLines="0" tabSelected="1" topLeftCell="A5" zoomScaleNormal="100" workbookViewId="0">
      <selection activeCell="E20" sqref="E20"/>
    </sheetView>
  </sheetViews>
  <sheetFormatPr defaultColWidth="9.140625" defaultRowHeight="15.75" x14ac:dyDescent="0.25"/>
  <cols>
    <col min="1" max="2" width="3.140625" customWidth="1"/>
    <col min="3" max="3" width="92.7109375" customWidth="1"/>
    <col min="4" max="10" width="16" customWidth="1"/>
    <col min="11" max="11" width="2.7109375" customWidth="1"/>
    <col min="12" max="12" width="2.42578125" customWidth="1"/>
    <col min="13" max="13" width="9.140625" style="303"/>
    <col min="14" max="14" width="10" bestFit="1" customWidth="1"/>
    <col min="15" max="15" width="11.5703125" bestFit="1" customWidth="1"/>
    <col min="16" max="25" width="14.140625" customWidth="1"/>
  </cols>
  <sheetData>
    <row r="1" spans="1:18" s="203" customFormat="1" ht="24" x14ac:dyDescent="0.35">
      <c r="B1" s="204"/>
      <c r="C1" s="205" t="s">
        <v>146</v>
      </c>
      <c r="D1" s="363" t="s">
        <v>212</v>
      </c>
      <c r="E1" s="363"/>
      <c r="F1" s="363"/>
      <c r="G1" s="363"/>
      <c r="H1" s="363"/>
      <c r="I1" s="363"/>
      <c r="J1" s="206"/>
      <c r="K1" s="206"/>
      <c r="M1" s="302"/>
    </row>
    <row r="2" spans="1:18" ht="78.599999999999994" customHeight="1" thickBot="1" x14ac:dyDescent="0.3"/>
    <row r="3" spans="1:18" s="207" customFormat="1" ht="27" customHeight="1" x14ac:dyDescent="0.3">
      <c r="A3" s="377" t="s">
        <v>147</v>
      </c>
      <c r="B3" s="378"/>
      <c r="C3" s="378"/>
      <c r="D3" s="378"/>
      <c r="E3" s="378"/>
      <c r="F3" s="378"/>
      <c r="G3" s="378"/>
      <c r="H3" s="378"/>
      <c r="I3" s="378"/>
      <c r="J3" s="378"/>
      <c r="K3" s="379"/>
      <c r="M3" s="304"/>
    </row>
    <row r="4" spans="1:18" s="207" customFormat="1" ht="27" customHeight="1" x14ac:dyDescent="0.3">
      <c r="A4" s="380"/>
      <c r="B4" s="381"/>
      <c r="C4" s="381"/>
      <c r="D4" s="381"/>
      <c r="E4" s="381"/>
      <c r="F4" s="381"/>
      <c r="G4" s="381"/>
      <c r="H4" s="381"/>
      <c r="I4" s="381"/>
      <c r="J4" s="381"/>
      <c r="K4" s="382"/>
      <c r="M4" s="304"/>
    </row>
    <row r="5" spans="1:18" s="207" customFormat="1" ht="49.5" customHeight="1" x14ac:dyDescent="0.3">
      <c r="A5" s="380"/>
      <c r="B5" s="381"/>
      <c r="C5" s="381"/>
      <c r="D5" s="381"/>
      <c r="E5" s="381"/>
      <c r="F5" s="381"/>
      <c r="G5" s="381"/>
      <c r="H5" s="381"/>
      <c r="I5" s="381"/>
      <c r="J5" s="381"/>
      <c r="K5" s="382"/>
      <c r="M5" s="304"/>
    </row>
    <row r="6" spans="1:18" s="207" customFormat="1" ht="20.25" x14ac:dyDescent="0.3">
      <c r="A6" s="383"/>
      <c r="B6" s="384"/>
      <c r="C6" s="384"/>
      <c r="D6" s="384"/>
      <c r="E6" s="384"/>
      <c r="F6" s="384"/>
      <c r="G6" s="384"/>
      <c r="H6" s="384"/>
      <c r="I6" s="384"/>
      <c r="J6" s="384"/>
      <c r="K6" s="305"/>
      <c r="M6" s="304"/>
    </row>
    <row r="7" spans="1:18" s="208" customFormat="1" ht="20.25" x14ac:dyDescent="0.4">
      <c r="A7" s="306"/>
      <c r="C7" s="307"/>
      <c r="D7" s="176" t="s">
        <v>187</v>
      </c>
      <c r="E7" s="176" t="s">
        <v>188</v>
      </c>
      <c r="F7" s="176" t="s">
        <v>189</v>
      </c>
      <c r="G7" s="176" t="s">
        <v>190</v>
      </c>
      <c r="H7" s="176" t="s">
        <v>191</v>
      </c>
      <c r="I7" s="176" t="s">
        <v>192</v>
      </c>
      <c r="J7" s="176" t="s">
        <v>193</v>
      </c>
      <c r="K7" s="172"/>
      <c r="M7" s="308"/>
    </row>
    <row r="8" spans="1:18" s="208" customFormat="1" ht="71.45" customHeight="1" x14ac:dyDescent="0.4">
      <c r="A8" s="306"/>
      <c r="B8" s="385" t="s">
        <v>199</v>
      </c>
      <c r="C8" s="268" t="s">
        <v>200</v>
      </c>
      <c r="D8" s="359" t="str">
        <f>+Sp1Plan1</f>
        <v>MEC $9000</v>
      </c>
      <c r="E8" s="309" t="str">
        <f>+Sp1Plan2</f>
        <v>80% J $30</v>
      </c>
      <c r="F8" s="309">
        <f>+Sp1Plan3</f>
        <v>0</v>
      </c>
      <c r="G8" s="309">
        <f>+Sp1Plan4</f>
        <v>0</v>
      </c>
      <c r="H8" s="309">
        <f>+Sp1Plan5</f>
        <v>0</v>
      </c>
      <c r="I8" s="309">
        <f>+Sp1Plan6</f>
        <v>0</v>
      </c>
      <c r="J8" s="309">
        <f>+Sp1Plan7</f>
        <v>0</v>
      </c>
      <c r="K8" s="172"/>
      <c r="M8" s="308"/>
    </row>
    <row r="9" spans="1:18" s="208" customFormat="1" ht="23.25" x14ac:dyDescent="0.4">
      <c r="A9" s="306"/>
      <c r="B9" s="386"/>
      <c r="C9" s="268" t="s">
        <v>201</v>
      </c>
      <c r="D9" s="310">
        <f>ROUND(ERContribution1*12,0)</f>
        <v>14500</v>
      </c>
      <c r="E9" s="310">
        <f>ROUND(ERContribution1*12,0)</f>
        <v>14500</v>
      </c>
      <c r="F9" s="310">
        <f>ROUND(ERContribution1*12,0)</f>
        <v>14500</v>
      </c>
      <c r="G9" s="310">
        <f>ROUND(ERContribution1*12,0)</f>
        <v>14500</v>
      </c>
      <c r="H9" s="310">
        <f>ROUND(ERContribution1*12,0)</f>
        <v>14500</v>
      </c>
      <c r="I9" s="310">
        <f>+IF(I7="",0,ROUND(ERContribution1*12,0))</f>
        <v>14500</v>
      </c>
      <c r="J9" s="310">
        <f>+IF(J7="",0,ROUND(ERContribution1*12,0))</f>
        <v>14500</v>
      </c>
      <c r="K9" s="172"/>
      <c r="M9" s="308"/>
    </row>
    <row r="10" spans="1:18" s="208" customFormat="1" ht="23.25" x14ac:dyDescent="0.4">
      <c r="A10" s="311"/>
      <c r="B10" s="386"/>
      <c r="C10" s="312" t="str">
        <f>+IF(Unit1="Chico CUTA","",IF(EERE1="Retiree","",IF(EERE2="Retiree","","Double-Covered 25% Discount")))</f>
        <v>Double-Covered 25% Discount</v>
      </c>
      <c r="D10" s="313">
        <f t="shared" ref="D10:J10" si="0">+IF($C10="",0,-INDEX(Discounts,+VLOOKUP(RateStructure1,Discountrows,2),VLOOKUP(D8,PlanColumn,2)))*12</f>
        <v>3096</v>
      </c>
      <c r="E10" s="313">
        <f t="shared" si="0"/>
        <v>4956</v>
      </c>
      <c r="F10" s="313" t="e">
        <f t="shared" si="0"/>
        <v>#N/A</v>
      </c>
      <c r="G10" s="313" t="e">
        <f t="shared" si="0"/>
        <v>#N/A</v>
      </c>
      <c r="H10" s="313" t="e">
        <f t="shared" si="0"/>
        <v>#N/A</v>
      </c>
      <c r="I10" s="313" t="e">
        <f t="shared" si="0"/>
        <v>#N/A</v>
      </c>
      <c r="J10" s="313" t="e">
        <f t="shared" si="0"/>
        <v>#N/A</v>
      </c>
      <c r="K10" s="172"/>
      <c r="M10" s="308"/>
    </row>
    <row r="11" spans="1:18" s="151" customFormat="1" ht="27.75" x14ac:dyDescent="0.3">
      <c r="A11" s="87"/>
      <c r="B11" s="386"/>
      <c r="C11" s="268" t="s">
        <v>105</v>
      </c>
      <c r="D11" s="314">
        <f t="shared" ref="D11:J11" si="1">-INDEX(Rates,+VLOOKUP(CONCATENATE(RateStructure1," ",EERE1," ",Tier1),RateRow,2),VLOOKUP(D8,PlanColumn,2))*12</f>
        <v>-12396</v>
      </c>
      <c r="E11" s="314">
        <f t="shared" si="1"/>
        <v>-19812</v>
      </c>
      <c r="F11" s="314" t="e">
        <f t="shared" si="1"/>
        <v>#N/A</v>
      </c>
      <c r="G11" s="314" t="e">
        <f t="shared" si="1"/>
        <v>#N/A</v>
      </c>
      <c r="H11" s="314" t="e">
        <f t="shared" si="1"/>
        <v>#N/A</v>
      </c>
      <c r="I11" s="314" t="e">
        <f t="shared" si="1"/>
        <v>#N/A</v>
      </c>
      <c r="J11" s="314" t="e">
        <f t="shared" si="1"/>
        <v>#N/A</v>
      </c>
      <c r="K11" s="173"/>
      <c r="M11" s="315"/>
    </row>
    <row r="12" spans="1:18" s="209" customFormat="1" ht="27.75" x14ac:dyDescent="0.25">
      <c r="A12" s="88"/>
      <c r="B12" s="386"/>
      <c r="C12" s="199" t="s">
        <v>159</v>
      </c>
      <c r="D12" s="316">
        <f>+IF(SUM(D$9:D$11)&gt;0,0,IF(SUM(D$9:D$11)&lt;1,SUM(D$9:D$11),""))</f>
        <v>0</v>
      </c>
      <c r="E12" s="316">
        <f t="shared" ref="E12:J12" si="2">+IF(SUM(E$9:E$11)&gt;0,0,IF(SUM(E$9:E$11)&lt;1,SUM(E$9:E$11),""))</f>
        <v>-356</v>
      </c>
      <c r="F12" s="316" t="e">
        <f t="shared" si="2"/>
        <v>#N/A</v>
      </c>
      <c r="G12" s="316" t="e">
        <f t="shared" si="2"/>
        <v>#N/A</v>
      </c>
      <c r="H12" s="316" t="e">
        <f t="shared" si="2"/>
        <v>#N/A</v>
      </c>
      <c r="I12" s="316" t="e">
        <f t="shared" si="2"/>
        <v>#N/A</v>
      </c>
      <c r="J12" s="316" t="e">
        <f t="shared" si="2"/>
        <v>#N/A</v>
      </c>
      <c r="K12" s="197"/>
      <c r="M12" s="317"/>
      <c r="O12" s="318"/>
    </row>
    <row r="13" spans="1:18" s="209" customFormat="1" ht="27.75" x14ac:dyDescent="0.25">
      <c r="A13" s="88"/>
      <c r="B13" s="387"/>
      <c r="C13" s="254" t="str">
        <f>+IF(cashinlieu1="Yes","PAYCHECK ADDITION (Cash in Lieu)","")</f>
        <v>PAYCHECK ADDITION (Cash in Lieu)</v>
      </c>
      <c r="D13" s="316">
        <f t="shared" ref="D13:J13" si="3">+IF(cashinlieu1="Yes",+IF(SUM(D$9:D$11)&lt;0,0,IF(SUM(D$9:D$11)&gt;1,SUM(D$9:D$11),"")))</f>
        <v>5200</v>
      </c>
      <c r="E13" s="316">
        <f t="shared" si="3"/>
        <v>0</v>
      </c>
      <c r="F13" s="316" t="e">
        <f t="shared" si="3"/>
        <v>#N/A</v>
      </c>
      <c r="G13" s="316" t="e">
        <f t="shared" si="3"/>
        <v>#N/A</v>
      </c>
      <c r="H13" s="316" t="e">
        <f t="shared" si="3"/>
        <v>#N/A</v>
      </c>
      <c r="I13" s="316" t="e">
        <f t="shared" si="3"/>
        <v>#N/A</v>
      </c>
      <c r="J13" s="316" t="e">
        <f t="shared" si="3"/>
        <v>#N/A</v>
      </c>
      <c r="K13" s="197"/>
      <c r="M13" s="317"/>
    </row>
    <row r="14" spans="1:18" s="209" customFormat="1" ht="27.75" x14ac:dyDescent="0.25">
      <c r="A14" s="88"/>
      <c r="B14" s="319"/>
      <c r="C14" s="320"/>
      <c r="D14" s="321"/>
      <c r="E14" s="321"/>
      <c r="F14" s="321"/>
      <c r="G14" s="321"/>
      <c r="H14" s="321"/>
      <c r="I14" s="321"/>
      <c r="J14" s="321"/>
      <c r="K14" s="197"/>
      <c r="M14" s="317"/>
    </row>
    <row r="15" spans="1:18" s="208" customFormat="1" ht="67.900000000000006" customHeight="1" x14ac:dyDescent="0.4">
      <c r="A15" s="306"/>
      <c r="B15" s="385" t="s">
        <v>202</v>
      </c>
      <c r="C15" s="268" t="s">
        <v>200</v>
      </c>
      <c r="D15" s="309" t="str">
        <f>+Sp2Plan1</f>
        <v>80% J $30</v>
      </c>
      <c r="E15" s="309" t="str">
        <f>+Sp2Plan2</f>
        <v>MEC $9000</v>
      </c>
      <c r="F15" s="309">
        <f>+Sp2Plan3</f>
        <v>0</v>
      </c>
      <c r="G15" s="309">
        <f>+Sp2Plan4</f>
        <v>0</v>
      </c>
      <c r="H15" s="309">
        <f>+Sp2Plan5</f>
        <v>0</v>
      </c>
      <c r="I15" s="309">
        <f>+Sp2Plan6</f>
        <v>0</v>
      </c>
      <c r="J15" s="309">
        <f>+Sp2Plan7</f>
        <v>0</v>
      </c>
      <c r="K15" s="172"/>
      <c r="M15" s="308"/>
      <c r="R15" s="208" t="s">
        <v>203</v>
      </c>
    </row>
    <row r="16" spans="1:18" s="208" customFormat="1" ht="23.25" x14ac:dyDescent="0.4">
      <c r="A16" s="306"/>
      <c r="B16" s="386"/>
      <c r="C16" s="268" t="s">
        <v>201</v>
      </c>
      <c r="D16" s="313">
        <f t="shared" ref="D16:J16" si="4">ROUND(ERContribution2*12,0)</f>
        <v>21305</v>
      </c>
      <c r="E16" s="313">
        <f t="shared" si="4"/>
        <v>21305</v>
      </c>
      <c r="F16" s="313">
        <f t="shared" si="4"/>
        <v>21305</v>
      </c>
      <c r="G16" s="313">
        <f t="shared" si="4"/>
        <v>21305</v>
      </c>
      <c r="H16" s="313">
        <f t="shared" si="4"/>
        <v>21305</v>
      </c>
      <c r="I16" s="313">
        <f t="shared" si="4"/>
        <v>21305</v>
      </c>
      <c r="J16" s="313">
        <f t="shared" si="4"/>
        <v>21305</v>
      </c>
      <c r="K16" s="172"/>
      <c r="M16" s="308"/>
    </row>
    <row r="17" spans="1:25" s="208" customFormat="1" ht="23.25" x14ac:dyDescent="0.4">
      <c r="A17" s="306"/>
      <c r="B17" s="386"/>
      <c r="C17" s="312" t="str">
        <f>+IF(Unit2="Chico CUTA","",IF(EERE1="Retiree","",IF(EERE2="Retiree","","Double-Covered 25% Discount")))</f>
        <v>Double-Covered 25% Discount</v>
      </c>
      <c r="D17" s="313">
        <f t="shared" ref="D17:J17" si="5">+IF($C17="",0,-INDEX(Discounts,+VLOOKUP(ratestructure2,Discountrows,2),VLOOKUP(D15,PlanColumn,2)))*12</f>
        <v>4956</v>
      </c>
      <c r="E17" s="313">
        <f t="shared" si="5"/>
        <v>3096</v>
      </c>
      <c r="F17" s="313" t="e">
        <f t="shared" si="5"/>
        <v>#N/A</v>
      </c>
      <c r="G17" s="313" t="e">
        <f t="shared" si="5"/>
        <v>#N/A</v>
      </c>
      <c r="H17" s="313" t="e">
        <f t="shared" si="5"/>
        <v>#N/A</v>
      </c>
      <c r="I17" s="313" t="e">
        <f t="shared" si="5"/>
        <v>#N/A</v>
      </c>
      <c r="J17" s="313" t="e">
        <f t="shared" si="5"/>
        <v>#N/A</v>
      </c>
      <c r="K17" s="172"/>
      <c r="M17" s="308"/>
    </row>
    <row r="18" spans="1:25" s="323" customFormat="1" ht="27.75" x14ac:dyDescent="0.25">
      <c r="A18" s="87"/>
      <c r="B18" s="386"/>
      <c r="C18" s="268" t="s">
        <v>105</v>
      </c>
      <c r="D18" s="314">
        <f t="shared" ref="D18:J18" si="6">-INDEX(Rates,+VLOOKUP(CONCATENATE(ratestructure2," ",EERE2," ",Tier2),RateRow,2),VLOOKUP(D15,PlanColumn,2))*12</f>
        <v>-19812</v>
      </c>
      <c r="E18" s="314">
        <f t="shared" si="6"/>
        <v>-12396</v>
      </c>
      <c r="F18" s="314" t="e">
        <f t="shared" si="6"/>
        <v>#N/A</v>
      </c>
      <c r="G18" s="314" t="e">
        <f t="shared" si="6"/>
        <v>#N/A</v>
      </c>
      <c r="H18" s="314" t="e">
        <f t="shared" si="6"/>
        <v>#N/A</v>
      </c>
      <c r="I18" s="314" t="e">
        <f t="shared" si="6"/>
        <v>#N/A</v>
      </c>
      <c r="J18" s="314" t="e">
        <f t="shared" si="6"/>
        <v>#N/A</v>
      </c>
      <c r="K18" s="322"/>
      <c r="M18" s="317"/>
    </row>
    <row r="19" spans="1:25" s="323" customFormat="1" ht="27.75" x14ac:dyDescent="0.25">
      <c r="A19" s="324"/>
      <c r="B19" s="386"/>
      <c r="C19" s="199" t="s">
        <v>159</v>
      </c>
      <c r="D19" s="316">
        <f>+IF(SUM(D$16:D$18)&gt;0,0,IF(SUM(D$16:D$18)&lt;1,SUM(D$16:D$18),""))</f>
        <v>0</v>
      </c>
      <c r="E19" s="316">
        <f t="shared" ref="E19:J19" si="7">+IF(SUM(E$16:E$18)&gt;0,0,IF(SUM(E$16:E$18)&lt;1,SUM(E$16:E$18),""))</f>
        <v>0</v>
      </c>
      <c r="F19" s="316" t="e">
        <f t="shared" si="7"/>
        <v>#N/A</v>
      </c>
      <c r="G19" s="316" t="e">
        <f t="shared" si="7"/>
        <v>#N/A</v>
      </c>
      <c r="H19" s="316" t="e">
        <f t="shared" si="7"/>
        <v>#N/A</v>
      </c>
      <c r="I19" s="316" t="e">
        <f t="shared" si="7"/>
        <v>#N/A</v>
      </c>
      <c r="J19" s="316" t="e">
        <f t="shared" si="7"/>
        <v>#N/A</v>
      </c>
      <c r="K19" s="325"/>
      <c r="M19" s="317"/>
      <c r="O19" s="326"/>
    </row>
    <row r="20" spans="1:25" s="323" customFormat="1" ht="27.75" x14ac:dyDescent="0.25">
      <c r="A20" s="324"/>
      <c r="B20" s="387"/>
      <c r="C20" s="254" t="str">
        <f>+IF(cashinlieu2="Yes","PAYCHECK ADDITION (Cash in Lieu)","")</f>
        <v>PAYCHECK ADDITION (Cash in Lieu)</v>
      </c>
      <c r="D20" s="316">
        <f t="shared" ref="D20:J20" si="8">+IF(cashinlieu2="Yes",+IF(SUM(D$16:D$18)&lt;0,0,IF(SUM(D$16:D$18)&gt;1,SUM(D$16:D$18),"")))</f>
        <v>6449</v>
      </c>
      <c r="E20" s="316">
        <f t="shared" si="8"/>
        <v>12005</v>
      </c>
      <c r="F20" s="316" t="e">
        <f t="shared" si="8"/>
        <v>#N/A</v>
      </c>
      <c r="G20" s="316" t="e">
        <f t="shared" si="8"/>
        <v>#N/A</v>
      </c>
      <c r="H20" s="316" t="e">
        <f t="shared" si="8"/>
        <v>#N/A</v>
      </c>
      <c r="I20" s="316" t="e">
        <f t="shared" si="8"/>
        <v>#N/A</v>
      </c>
      <c r="J20" s="316" t="e">
        <f t="shared" si="8"/>
        <v>#N/A</v>
      </c>
      <c r="K20" s="325"/>
      <c r="M20" s="317"/>
      <c r="P20" s="327"/>
      <c r="Q20" s="327"/>
      <c r="R20" s="327"/>
      <c r="S20" s="327"/>
      <c r="T20" s="327"/>
      <c r="U20" s="327"/>
      <c r="V20" s="327"/>
      <c r="W20" s="327"/>
      <c r="X20" s="327"/>
      <c r="Y20" s="327"/>
    </row>
    <row r="21" spans="1:25" s="151" customFormat="1" ht="23.25" x14ac:dyDescent="0.35">
      <c r="A21" s="88"/>
      <c r="B21" s="200"/>
      <c r="C21" s="200"/>
      <c r="D21" s="328"/>
      <c r="E21" s="328"/>
      <c r="F21" s="328"/>
      <c r="G21" s="328"/>
      <c r="H21" s="328"/>
      <c r="I21" s="328"/>
      <c r="J21" s="328"/>
      <c r="K21" s="93"/>
      <c r="M21" s="315"/>
    </row>
    <row r="22" spans="1:25" s="151" customFormat="1" ht="23.25" x14ac:dyDescent="0.35">
      <c r="A22" s="89"/>
      <c r="B22" s="388" t="s">
        <v>11</v>
      </c>
      <c r="C22" s="388"/>
      <c r="D22" s="329">
        <f t="shared" ref="D22:J22" si="9">-(Totalmedcosts+TotalRXCost)</f>
        <v>0</v>
      </c>
      <c r="E22" s="329">
        <f t="shared" si="9"/>
        <v>0</v>
      </c>
      <c r="F22" s="329">
        <f t="shared" si="9"/>
        <v>0</v>
      </c>
      <c r="G22" s="329">
        <f t="shared" si="9"/>
        <v>0</v>
      </c>
      <c r="H22" s="329">
        <f t="shared" si="9"/>
        <v>0</v>
      </c>
      <c r="I22" s="329">
        <f t="shared" si="9"/>
        <v>0</v>
      </c>
      <c r="J22" s="329">
        <f t="shared" si="9"/>
        <v>0</v>
      </c>
      <c r="K22" s="174"/>
      <c r="M22" s="315"/>
    </row>
    <row r="23" spans="1:25" s="151" customFormat="1" ht="27.75" x14ac:dyDescent="0.65">
      <c r="A23" s="89"/>
      <c r="B23" s="389" t="s">
        <v>90</v>
      </c>
      <c r="C23" s="389"/>
      <c r="D23" s="330">
        <f t="shared" ref="D23:J23" si="10">+MAX(VLOOKUP(D$8,ClaimPayments,3),VLOOKUP(D$15,ClaimPayments,3))</f>
        <v>0</v>
      </c>
      <c r="E23" s="330">
        <f t="shared" si="10"/>
        <v>0</v>
      </c>
      <c r="F23" s="330" t="e">
        <f t="shared" si="10"/>
        <v>#N/A</v>
      </c>
      <c r="G23" s="330" t="e">
        <f t="shared" si="10"/>
        <v>#N/A</v>
      </c>
      <c r="H23" s="330" t="e">
        <f t="shared" si="10"/>
        <v>#N/A</v>
      </c>
      <c r="I23" s="330" t="e">
        <f t="shared" si="10"/>
        <v>#N/A</v>
      </c>
      <c r="J23" s="330" t="e">
        <f t="shared" si="10"/>
        <v>#N/A</v>
      </c>
      <c r="K23" s="175"/>
      <c r="M23" s="315"/>
    </row>
    <row r="24" spans="1:25" s="151" customFormat="1" ht="43.5" customHeight="1" x14ac:dyDescent="0.65">
      <c r="A24" s="90"/>
      <c r="B24" s="390" t="s">
        <v>166</v>
      </c>
      <c r="C24" s="390"/>
      <c r="D24" s="331">
        <f>SUM(D22:D23)</f>
        <v>0</v>
      </c>
      <c r="E24" s="331">
        <f t="shared" ref="E24:J24" si="11">SUM(E22:E23)</f>
        <v>0</v>
      </c>
      <c r="F24" s="331" t="e">
        <f t="shared" si="11"/>
        <v>#N/A</v>
      </c>
      <c r="G24" s="331" t="e">
        <f t="shared" si="11"/>
        <v>#N/A</v>
      </c>
      <c r="H24" s="331" t="e">
        <f t="shared" si="11"/>
        <v>#N/A</v>
      </c>
      <c r="I24" s="331" t="e">
        <f t="shared" si="11"/>
        <v>#N/A</v>
      </c>
      <c r="J24" s="331" t="e">
        <f t="shared" si="11"/>
        <v>#N/A</v>
      </c>
      <c r="K24" s="93"/>
      <c r="M24" s="315"/>
    </row>
    <row r="25" spans="1:25" s="151" customFormat="1" ht="27.75" x14ac:dyDescent="0.65">
      <c r="A25" s="90"/>
      <c r="B25" s="201"/>
      <c r="C25" s="201"/>
      <c r="D25" s="331"/>
      <c r="E25" s="331"/>
      <c r="F25" s="331"/>
      <c r="G25" s="331"/>
      <c r="H25" s="331"/>
      <c r="I25" s="331"/>
      <c r="J25" s="331"/>
      <c r="K25" s="93"/>
      <c r="M25" s="315"/>
    </row>
    <row r="26" spans="1:25" s="209" customFormat="1" ht="24.75" customHeight="1" x14ac:dyDescent="0.25">
      <c r="A26" s="90"/>
      <c r="B26" s="202"/>
      <c r="C26" s="332" t="e">
        <f>+IF(SUM(D26:J26)&lt;1,"Net Cost","")</f>
        <v>#N/A</v>
      </c>
      <c r="D26" s="255" t="str">
        <f>+IF(D58&lt;1,D58,"")</f>
        <v/>
      </c>
      <c r="E26" s="255" t="str">
        <f t="shared" ref="E26:J26" si="12">+IF(E58&lt;1,E58,"")</f>
        <v/>
      </c>
      <c r="F26" s="255" t="e">
        <f t="shared" si="12"/>
        <v>#N/A</v>
      </c>
      <c r="G26" s="255" t="e">
        <f t="shared" si="12"/>
        <v>#N/A</v>
      </c>
      <c r="H26" s="255" t="e">
        <f t="shared" si="12"/>
        <v>#N/A</v>
      </c>
      <c r="I26" s="255" t="e">
        <f t="shared" si="12"/>
        <v>#N/A</v>
      </c>
      <c r="J26" s="255" t="e">
        <f t="shared" si="12"/>
        <v>#N/A</v>
      </c>
      <c r="K26" s="197"/>
      <c r="M26" s="317"/>
    </row>
    <row r="27" spans="1:25" s="209" customFormat="1" ht="27" customHeight="1" x14ac:dyDescent="0.25">
      <c r="A27" s="90"/>
      <c r="B27" s="391" t="e">
        <f>+IF(SUM(D27:J27)&lt;1,"","Net Savings")</f>
        <v>#N/A</v>
      </c>
      <c r="C27" s="391"/>
      <c r="D27" s="256">
        <f>+IF(D58&gt;0,D58,"")</f>
        <v>11649</v>
      </c>
      <c r="E27" s="256">
        <f t="shared" ref="E27:J27" si="13">+IF(E58&gt;0,E58,"")</f>
        <v>11649</v>
      </c>
      <c r="F27" s="256" t="e">
        <f t="shared" si="13"/>
        <v>#N/A</v>
      </c>
      <c r="G27" s="256" t="e">
        <f t="shared" si="13"/>
        <v>#N/A</v>
      </c>
      <c r="H27" s="256" t="e">
        <f t="shared" si="13"/>
        <v>#N/A</v>
      </c>
      <c r="I27" s="256" t="e">
        <f t="shared" si="13"/>
        <v>#N/A</v>
      </c>
      <c r="J27" s="256" t="e">
        <f t="shared" si="13"/>
        <v>#N/A</v>
      </c>
      <c r="K27" s="197"/>
      <c r="M27" s="317"/>
    </row>
    <row r="28" spans="1:25" s="209" customFormat="1" ht="21" x14ac:dyDescent="0.25">
      <c r="A28" s="90"/>
      <c r="B28" s="257"/>
      <c r="C28" s="392" t="s">
        <v>167</v>
      </c>
      <c r="D28" s="392"/>
      <c r="E28" s="392"/>
      <c r="F28" s="392"/>
      <c r="G28" s="392"/>
      <c r="H28" s="392"/>
      <c r="I28" s="392"/>
      <c r="J28" s="392"/>
      <c r="K28" s="197"/>
      <c r="M28" s="317"/>
    </row>
    <row r="29" spans="1:25" s="209" customFormat="1" ht="42.6" customHeight="1" thickBot="1" x14ac:dyDescent="0.3">
      <c r="A29" s="92"/>
      <c r="B29" s="258"/>
      <c r="C29" s="393" t="s">
        <v>168</v>
      </c>
      <c r="D29" s="393"/>
      <c r="E29" s="393"/>
      <c r="F29" s="393"/>
      <c r="G29" s="393"/>
      <c r="H29" s="393"/>
      <c r="I29" s="393"/>
      <c r="J29" s="393"/>
      <c r="K29" s="198"/>
      <c r="M29" s="317"/>
    </row>
    <row r="30" spans="1:25" x14ac:dyDescent="0.25">
      <c r="A30" s="210"/>
      <c r="B30" s="210"/>
    </row>
    <row r="31" spans="1:25" ht="24.75" customHeight="1" x14ac:dyDescent="0.25">
      <c r="A31" s="376" t="s">
        <v>204</v>
      </c>
      <c r="B31" s="376"/>
      <c r="C31" s="376"/>
      <c r="D31" s="376"/>
      <c r="E31" s="376"/>
      <c r="F31" s="376"/>
      <c r="G31" s="376"/>
      <c r="K31" s="100"/>
    </row>
    <row r="32" spans="1:25" ht="24.75" customHeight="1" x14ac:dyDescent="0.25">
      <c r="A32" s="376"/>
      <c r="B32" s="376"/>
      <c r="C32" s="376"/>
      <c r="D32" s="376"/>
      <c r="E32" s="376"/>
      <c r="F32" s="376"/>
      <c r="G32" s="376"/>
      <c r="K32" s="100"/>
    </row>
    <row r="33" spans="1:11" ht="24.75" customHeight="1" x14ac:dyDescent="0.25">
      <c r="A33" s="376"/>
      <c r="B33" s="376"/>
      <c r="C33" s="376"/>
      <c r="D33" s="376"/>
      <c r="E33" s="376"/>
      <c r="F33" s="376"/>
      <c r="G33" s="376"/>
      <c r="K33" s="100"/>
    </row>
    <row r="34" spans="1:11" ht="51.75" customHeight="1" x14ac:dyDescent="0.25">
      <c r="A34" s="376"/>
      <c r="B34" s="376"/>
      <c r="C34" s="376"/>
      <c r="D34" s="376"/>
      <c r="E34" s="376"/>
      <c r="F34" s="376"/>
      <c r="G34" s="376"/>
      <c r="K34" s="100"/>
    </row>
    <row r="35" spans="1:11" ht="51.75" customHeight="1" x14ac:dyDescent="0.25">
      <c r="A35" s="269"/>
      <c r="B35" s="269"/>
      <c r="C35" s="269"/>
      <c r="D35" s="269"/>
      <c r="E35" s="269"/>
      <c r="F35" s="269"/>
      <c r="G35" s="269"/>
      <c r="K35" s="100"/>
    </row>
    <row r="36" spans="1:11" ht="51.75" customHeight="1" x14ac:dyDescent="0.25">
      <c r="A36" s="269"/>
      <c r="B36" s="269"/>
      <c r="C36" s="269"/>
      <c r="D36" s="269"/>
      <c r="E36" s="269"/>
      <c r="F36" s="269"/>
      <c r="G36" s="269"/>
      <c r="K36" s="100"/>
    </row>
    <row r="37" spans="1:11" ht="51.75" customHeight="1" x14ac:dyDescent="0.25">
      <c r="A37" s="269"/>
      <c r="B37" s="269"/>
      <c r="C37" s="269"/>
      <c r="D37" s="269"/>
      <c r="E37" s="269"/>
      <c r="F37" s="269"/>
      <c r="G37" s="269"/>
      <c r="K37" s="100"/>
    </row>
    <row r="38" spans="1:11" ht="51.75" customHeight="1" x14ac:dyDescent="0.25">
      <c r="A38" s="269"/>
      <c r="B38" s="269"/>
      <c r="C38" s="269"/>
      <c r="D38" s="269"/>
      <c r="E38" s="269"/>
      <c r="F38" s="269"/>
      <c r="G38" s="269"/>
      <c r="K38" s="100"/>
    </row>
    <row r="39" spans="1:11" ht="51.75" customHeight="1" x14ac:dyDescent="0.25">
      <c r="A39" s="269"/>
      <c r="B39" s="269"/>
      <c r="C39" s="269"/>
      <c r="D39" s="269"/>
      <c r="E39" s="269"/>
      <c r="F39" s="269"/>
      <c r="G39" s="269"/>
      <c r="K39" s="100"/>
    </row>
    <row r="40" spans="1:11" ht="51.75" customHeight="1" x14ac:dyDescent="0.25">
      <c r="A40" s="269"/>
      <c r="B40" s="269"/>
      <c r="C40" s="269"/>
      <c r="D40" s="269"/>
      <c r="E40" s="269"/>
      <c r="F40" s="269"/>
      <c r="G40" s="269"/>
      <c r="K40" s="100"/>
    </row>
    <row r="41" spans="1:11" ht="51.75" customHeight="1" x14ac:dyDescent="0.25">
      <c r="A41" s="269"/>
      <c r="B41" s="269"/>
      <c r="C41" s="269"/>
      <c r="D41" s="269"/>
      <c r="E41" s="269"/>
      <c r="F41" s="269"/>
      <c r="G41" s="269"/>
      <c r="K41" s="100"/>
    </row>
    <row r="42" spans="1:11" ht="51.75" customHeight="1" x14ac:dyDescent="0.25">
      <c r="A42" s="269"/>
      <c r="B42" s="269"/>
      <c r="C42" s="269"/>
      <c r="D42" s="269"/>
      <c r="E42" s="269"/>
      <c r="F42" s="269"/>
      <c r="G42" s="269"/>
      <c r="K42" s="100"/>
    </row>
    <row r="43" spans="1:11" ht="51.75" customHeight="1" x14ac:dyDescent="0.25">
      <c r="A43" s="269"/>
      <c r="B43" s="269"/>
      <c r="C43" s="269"/>
      <c r="D43" s="269"/>
      <c r="E43" s="269"/>
      <c r="F43" s="269"/>
      <c r="G43" s="269"/>
      <c r="K43" s="100"/>
    </row>
    <row r="44" spans="1:11" ht="51.75" customHeight="1" x14ac:dyDescent="0.25">
      <c r="A44" s="269"/>
      <c r="B44" s="269"/>
      <c r="C44" s="269"/>
      <c r="D44" s="269"/>
      <c r="E44" s="269"/>
      <c r="F44" s="269"/>
      <c r="G44" s="269"/>
      <c r="K44" s="100"/>
    </row>
    <row r="51" spans="1:13" ht="31.5" x14ac:dyDescent="0.25">
      <c r="A51" s="210"/>
      <c r="B51" s="210"/>
      <c r="C51" s="213" t="s">
        <v>205</v>
      </c>
      <c r="D51" s="333" t="str">
        <f t="shared" ref="D51:J51" si="14">+CONCATENATE(D8," + ",D15)</f>
        <v>MEC $9000 + 80% J $30</v>
      </c>
      <c r="E51" s="333" t="str">
        <f t="shared" si="14"/>
        <v>80% J $30 + MEC $9000</v>
      </c>
      <c r="F51" s="333" t="str">
        <f t="shared" si="14"/>
        <v>0 + 0</v>
      </c>
      <c r="G51" s="333" t="str">
        <f t="shared" si="14"/>
        <v>0 + 0</v>
      </c>
      <c r="H51" s="333" t="str">
        <f t="shared" si="14"/>
        <v>0 + 0</v>
      </c>
      <c r="I51" s="333" t="str">
        <f t="shared" si="14"/>
        <v>0 + 0</v>
      </c>
      <c r="J51" s="333" t="str">
        <f t="shared" si="14"/>
        <v>0 + 0</v>
      </c>
    </row>
    <row r="52" spans="1:13" x14ac:dyDescent="0.25">
      <c r="A52" s="210"/>
      <c r="B52" s="210"/>
      <c r="C52" s="211"/>
    </row>
    <row r="53" spans="1:13" x14ac:dyDescent="0.25">
      <c r="A53" s="210"/>
      <c r="B53" s="210"/>
      <c r="C53" s="213" t="s">
        <v>206</v>
      </c>
    </row>
    <row r="54" spans="1:13" x14ac:dyDescent="0.25">
      <c r="A54" s="210"/>
      <c r="B54" s="210"/>
      <c r="C54" s="213" t="s">
        <v>207</v>
      </c>
      <c r="D54" s="231">
        <f>+((MAX(CoveredDependents1,covereddependents2)+1)*'[1]User Input'!$D$23)</f>
        <v>600</v>
      </c>
      <c r="E54" s="231">
        <f>+((MAX(CoveredDependents1,covereddependents2)+1)*'[1]User Input'!$D$23)</f>
        <v>600</v>
      </c>
      <c r="F54" s="231">
        <f>+((MAX(CoveredDependents1,covereddependents2)+1)*'[1]User Input'!$D$23)</f>
        <v>600</v>
      </c>
      <c r="G54" s="231">
        <f>+((MAX(CoveredDependents1,covereddependents2)+1)*'[1]User Input'!$D$23)</f>
        <v>600</v>
      </c>
      <c r="H54" s="231">
        <f>+((MAX(CoveredDependents1,covereddependents2)+1)*'[1]User Input'!$D$23)</f>
        <v>600</v>
      </c>
      <c r="I54" s="231">
        <f>+((MAX(CoveredDependents1,covereddependents2)+1)*'[1]User Input'!$D$23)</f>
        <v>600</v>
      </c>
      <c r="J54" s="231">
        <f>+((MAX(CoveredDependents1,covereddependents2)+1)*'[1]User Input'!$D$23)</f>
        <v>600</v>
      </c>
    </row>
    <row r="55" spans="1:13" x14ac:dyDescent="0.25">
      <c r="A55" s="210"/>
      <c r="B55" s="210"/>
      <c r="C55" s="213" t="s">
        <v>208</v>
      </c>
      <c r="D55" s="231">
        <f>-D54</f>
        <v>-600</v>
      </c>
      <c r="E55" s="231">
        <f t="shared" ref="E55:J55" si="15">-E54</f>
        <v>-600</v>
      </c>
      <c r="F55" s="231">
        <f t="shared" si="15"/>
        <v>-600</v>
      </c>
      <c r="G55" s="231">
        <f t="shared" si="15"/>
        <v>-600</v>
      </c>
      <c r="H55" s="231">
        <f t="shared" si="15"/>
        <v>-600</v>
      </c>
      <c r="I55" s="231">
        <f t="shared" si="15"/>
        <v>-600</v>
      </c>
      <c r="J55" s="231">
        <f t="shared" si="15"/>
        <v>-600</v>
      </c>
    </row>
    <row r="56" spans="1:13" x14ac:dyDescent="0.25">
      <c r="A56" s="210"/>
      <c r="B56" s="210"/>
      <c r="C56" s="213" t="s">
        <v>206</v>
      </c>
      <c r="D56" s="231">
        <f t="shared" ref="D56:J56" si="16">+SUM(D12:D13,D19:D20,D54:D55)</f>
        <v>11649</v>
      </c>
      <c r="E56" s="231">
        <f t="shared" si="16"/>
        <v>11649</v>
      </c>
      <c r="F56" s="231" t="e">
        <f t="shared" si="16"/>
        <v>#N/A</v>
      </c>
      <c r="G56" s="231" t="e">
        <f t="shared" si="16"/>
        <v>#N/A</v>
      </c>
      <c r="H56" s="231" t="e">
        <f t="shared" si="16"/>
        <v>#N/A</v>
      </c>
      <c r="I56" s="231" t="e">
        <f t="shared" si="16"/>
        <v>#N/A</v>
      </c>
      <c r="J56" s="231" t="e">
        <f t="shared" si="16"/>
        <v>#N/A</v>
      </c>
    </row>
    <row r="57" spans="1:13" x14ac:dyDescent="0.25">
      <c r="A57" s="210"/>
      <c r="B57" s="210"/>
      <c r="C57" s="213"/>
      <c r="D57" s="231"/>
      <c r="E57" s="231"/>
      <c r="F57" s="231"/>
      <c r="G57" s="231"/>
      <c r="H57" s="231"/>
      <c r="I57" s="231"/>
      <c r="J57" s="231"/>
    </row>
    <row r="58" spans="1:13" x14ac:dyDescent="0.25">
      <c r="A58" s="210"/>
      <c r="B58" s="210"/>
      <c r="C58" s="213" t="s">
        <v>165</v>
      </c>
      <c r="D58" s="334">
        <f>+SUM(D12:D13)+SUM(D19:D20)+D24</f>
        <v>11649</v>
      </c>
      <c r="E58" s="334">
        <f>+SUM(E12:E13)+SUM(E19:E20)+E24</f>
        <v>11649</v>
      </c>
      <c r="F58" s="334" t="e">
        <f t="shared" ref="F58:J58" si="17">+SUM(F12:F13)+SUM(F19:F20)+F24</f>
        <v>#N/A</v>
      </c>
      <c r="G58" s="334" t="e">
        <f t="shared" si="17"/>
        <v>#N/A</v>
      </c>
      <c r="H58" s="334" t="e">
        <f t="shared" si="17"/>
        <v>#N/A</v>
      </c>
      <c r="I58" s="334" t="e">
        <f t="shared" si="17"/>
        <v>#N/A</v>
      </c>
      <c r="J58" s="334" t="e">
        <f t="shared" si="17"/>
        <v>#N/A</v>
      </c>
      <c r="K58" s="100"/>
    </row>
    <row r="59" spans="1:13" x14ac:dyDescent="0.25">
      <c r="A59" s="210"/>
      <c r="B59" s="210"/>
      <c r="D59" s="231"/>
      <c r="E59" s="231"/>
      <c r="F59" s="231"/>
      <c r="G59" s="231"/>
      <c r="H59" s="231"/>
      <c r="I59" s="231"/>
      <c r="J59" s="231"/>
    </row>
    <row r="60" spans="1:13" x14ac:dyDescent="0.25">
      <c r="A60" s="210"/>
      <c r="B60" s="210"/>
      <c r="D60" s="231"/>
      <c r="E60" s="231"/>
      <c r="F60" s="231"/>
      <c r="G60" s="231"/>
      <c r="H60" s="231"/>
      <c r="I60" s="231"/>
      <c r="J60" s="231"/>
    </row>
    <row r="61" spans="1:13" x14ac:dyDescent="0.25">
      <c r="A61" s="210"/>
      <c r="B61" s="210"/>
      <c r="C61" s="213" t="s">
        <v>209</v>
      </c>
      <c r="D61" s="335">
        <f t="shared" ref="D61:J61" si="18">-MIN(INDEX(MaxOOP,IF(MAX(CoveredDependents1,covereddependents2)=0,1,2),+VLOOKUP(D$8,PlanColumn,2)),INDEX(MaxOOP,IF(MAX(CoveredDependents1,covereddependents2)=0,1,2),+VLOOKUP(D$15,PlanColumn,2)))</f>
        <v>-1033</v>
      </c>
      <c r="E61" s="335">
        <f t="shared" si="18"/>
        <v>-1033</v>
      </c>
      <c r="F61" s="335" t="e">
        <f t="shared" si="18"/>
        <v>#N/A</v>
      </c>
      <c r="G61" s="335" t="e">
        <f t="shared" si="18"/>
        <v>#N/A</v>
      </c>
      <c r="H61" s="335" t="e">
        <f t="shared" si="18"/>
        <v>#N/A</v>
      </c>
      <c r="I61" s="335" t="e">
        <f t="shared" si="18"/>
        <v>#N/A</v>
      </c>
      <c r="J61" s="335" t="e">
        <f t="shared" si="18"/>
        <v>#N/A</v>
      </c>
    </row>
    <row r="62" spans="1:13" x14ac:dyDescent="0.25">
      <c r="A62" s="210"/>
      <c r="B62" s="210"/>
      <c r="C62" s="213" t="s">
        <v>210</v>
      </c>
      <c r="D62" s="336">
        <f t="shared" ref="D62:J62" si="19">+SUM(D12:D13,D19:D20)</f>
        <v>11649</v>
      </c>
      <c r="E62" s="336">
        <f t="shared" si="19"/>
        <v>11649</v>
      </c>
      <c r="F62" s="336" t="e">
        <f t="shared" si="19"/>
        <v>#N/A</v>
      </c>
      <c r="G62" s="336" t="e">
        <f t="shared" si="19"/>
        <v>#N/A</v>
      </c>
      <c r="H62" s="336" t="e">
        <f t="shared" si="19"/>
        <v>#N/A</v>
      </c>
      <c r="I62" s="336" t="e">
        <f t="shared" si="19"/>
        <v>#N/A</v>
      </c>
      <c r="J62" s="336" t="e">
        <f t="shared" si="19"/>
        <v>#N/A</v>
      </c>
    </row>
    <row r="63" spans="1:13" x14ac:dyDescent="0.25">
      <c r="A63" s="210"/>
      <c r="B63" s="210"/>
      <c r="C63" s="213" t="s">
        <v>211</v>
      </c>
      <c r="D63" s="337">
        <f>SUM(D61:D62)</f>
        <v>10616</v>
      </c>
      <c r="E63" s="337">
        <f t="shared" ref="E63:J63" si="20">SUM(E61:E62)</f>
        <v>10616</v>
      </c>
      <c r="F63" s="337" t="e">
        <f t="shared" si="20"/>
        <v>#N/A</v>
      </c>
      <c r="G63" s="337" t="e">
        <f t="shared" si="20"/>
        <v>#N/A</v>
      </c>
      <c r="H63" s="337" t="e">
        <f t="shared" si="20"/>
        <v>#N/A</v>
      </c>
      <c r="I63" s="337" t="e">
        <f t="shared" si="20"/>
        <v>#N/A</v>
      </c>
      <c r="J63" s="337" t="e">
        <f t="shared" si="20"/>
        <v>#N/A</v>
      </c>
    </row>
    <row r="64" spans="1:13" s="217" customFormat="1" x14ac:dyDescent="0.25">
      <c r="M64" s="338"/>
    </row>
  </sheetData>
  <mergeCells count="12">
    <mergeCell ref="A31:G34"/>
    <mergeCell ref="D1:I1"/>
    <mergeCell ref="A3:K5"/>
    <mergeCell ref="A6:J6"/>
    <mergeCell ref="B8:B13"/>
    <mergeCell ref="B15:B20"/>
    <mergeCell ref="B22:C22"/>
    <mergeCell ref="B23:C23"/>
    <mergeCell ref="B24:C24"/>
    <mergeCell ref="B27:C27"/>
    <mergeCell ref="C28:J28"/>
    <mergeCell ref="C29:J29"/>
  </mergeCells>
  <conditionalFormatting sqref="D14:J14">
    <cfRule type="cellIs" dxfId="1" priority="2" operator="greaterThan">
      <formula>0</formula>
    </cfRule>
  </conditionalFormatting>
  <conditionalFormatting sqref="I7:J7">
    <cfRule type="cellIs" dxfId="0" priority="1" operator="equal">
      <formula>0</formula>
    </cfRule>
  </conditionalFormatting>
  <printOptions horizontalCentered="1" verticalCentered="1"/>
  <pageMargins left="0.32" right="0.33" top="0.78" bottom="0.35" header="0.17" footer="0.2"/>
  <pageSetup scale="45" orientation="portrait" r:id="rId1"/>
  <headerFooter alignWithMargins="0">
    <oddHeader>&amp;C&amp;"Arial Narrow,Bold"&amp;20Butte Schools Self-Funded Programs
Double-Covered Plan Cost Estimator
For benefits elections effective October 1, 2022</oddHeader>
    <oddFooter>&amp;R&amp;8&amp;D, &amp;T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BA202"/>
  <sheetViews>
    <sheetView topLeftCell="A89" zoomScale="70" zoomScaleNormal="70" workbookViewId="0">
      <selection activeCell="I89" sqref="I89"/>
    </sheetView>
  </sheetViews>
  <sheetFormatPr defaultColWidth="9.140625" defaultRowHeight="15.75" x14ac:dyDescent="0.25"/>
  <cols>
    <col min="1" max="1" width="52.140625" style="1" customWidth="1"/>
    <col min="2" max="7" width="11.140625" customWidth="1"/>
    <col min="8" max="8" width="11.7109375" customWidth="1"/>
    <col min="9" max="9" width="10.42578125" bestFit="1" customWidth="1"/>
    <col min="10" max="11" width="10.42578125" style="231" customWidth="1"/>
    <col min="12" max="12" width="10.42578125" customWidth="1"/>
    <col min="13" max="13" width="9.28515625" customWidth="1"/>
    <col min="14" max="14" width="8.140625" bestFit="1" customWidth="1"/>
    <col min="15" max="15" width="17.28515625" bestFit="1" customWidth="1"/>
    <col min="16" max="16" width="8.85546875" bestFit="1" customWidth="1"/>
    <col min="17" max="20" width="8.7109375" bestFit="1" customWidth="1"/>
    <col min="21" max="21" width="5.28515625" bestFit="1" customWidth="1"/>
    <col min="22" max="22" width="9.28515625" hidden="1" customWidth="1"/>
    <col min="23" max="23" width="20.5703125" bestFit="1" customWidth="1"/>
    <col min="24" max="24" width="8.85546875" bestFit="1" customWidth="1"/>
    <col min="25" max="28" width="8.7109375" bestFit="1" customWidth="1"/>
    <col min="29" max="29" width="5.28515625" bestFit="1" customWidth="1"/>
    <col min="30" max="30" width="9.28515625" hidden="1" customWidth="1"/>
    <col min="31" max="31" width="12.42578125" bestFit="1" customWidth="1"/>
    <col min="37" max="37" width="2.5703125" customWidth="1"/>
    <col min="45" max="45" width="9.5703125" bestFit="1" customWidth="1"/>
  </cols>
  <sheetData>
    <row r="1" spans="1:53" s="3" customFormat="1" ht="49.5" x14ac:dyDescent="0.4">
      <c r="A1" s="154"/>
      <c r="B1" s="2" t="s">
        <v>0</v>
      </c>
      <c r="C1" s="2" t="s">
        <v>1</v>
      </c>
      <c r="D1" s="2" t="s">
        <v>2</v>
      </c>
      <c r="E1" s="2" t="s">
        <v>3</v>
      </c>
      <c r="F1" s="2" t="s">
        <v>4</v>
      </c>
      <c r="G1" s="2" t="s">
        <v>5</v>
      </c>
      <c r="H1" s="2" t="s">
        <v>62</v>
      </c>
      <c r="I1" s="155" t="s">
        <v>63</v>
      </c>
      <c r="J1" s="228" t="s">
        <v>92</v>
      </c>
      <c r="K1" s="243"/>
      <c r="L1" s="7"/>
      <c r="M1"/>
      <c r="N1" s="79"/>
    </row>
    <row r="2" spans="1:53" s="3" customFormat="1" ht="18" x14ac:dyDescent="0.4">
      <c r="A2" s="156" t="str">
        <f>'User Input'!C23</f>
        <v>Preventive (wellness, physical, routine, etc.) exams</v>
      </c>
      <c r="B2" s="78">
        <f>'User Input'!E23</f>
        <v>0</v>
      </c>
      <c r="C2" s="78">
        <f>'User Input'!F23</f>
        <v>0</v>
      </c>
      <c r="D2" s="78">
        <f>'User Input'!G23</f>
        <v>0</v>
      </c>
      <c r="E2" s="78">
        <f>'User Input'!H23</f>
        <v>0</v>
      </c>
      <c r="F2" s="78">
        <f>'User Input'!I23</f>
        <v>0</v>
      </c>
      <c r="G2" s="78">
        <f>'User Input'!J23</f>
        <v>0</v>
      </c>
      <c r="H2" s="78">
        <f>SUM(B2:G2)</f>
        <v>0</v>
      </c>
      <c r="I2" s="153">
        <f>'User Input'!D23</f>
        <v>150</v>
      </c>
      <c r="J2" s="153">
        <f>+H2*I2</f>
        <v>0</v>
      </c>
      <c r="K2" s="244"/>
      <c r="L2" s="96"/>
      <c r="M2" s="20"/>
      <c r="N2" s="79"/>
    </row>
    <row r="3" spans="1:53" s="3" customFormat="1" ht="47.25" x14ac:dyDescent="0.4">
      <c r="A3" s="156" t="str">
        <f>'User Input'!C24</f>
        <v>Office visits to the Health and Wellness Center due to illness, injury or disease management; not available on Kaiser plans</v>
      </c>
      <c r="B3" s="78">
        <f>'User Input'!E24</f>
        <v>0</v>
      </c>
      <c r="C3" s="78">
        <f>'User Input'!F24</f>
        <v>0</v>
      </c>
      <c r="D3" s="78">
        <f>'User Input'!G24</f>
        <v>0</v>
      </c>
      <c r="E3" s="78">
        <f>'User Input'!H24</f>
        <v>0</v>
      </c>
      <c r="F3" s="78">
        <f>'User Input'!I24</f>
        <v>0</v>
      </c>
      <c r="G3" s="78">
        <f>'User Input'!J24</f>
        <v>0</v>
      </c>
      <c r="H3" s="78">
        <f t="shared" ref="H3:H12" si="0">SUM(B3:G3)</f>
        <v>0</v>
      </c>
      <c r="I3" s="153">
        <f>'User Input'!D24</f>
        <v>25</v>
      </c>
      <c r="J3" s="153">
        <f t="shared" ref="J3:J11" si="1">+H3*I3</f>
        <v>0</v>
      </c>
      <c r="K3" s="244"/>
      <c r="L3" s="96"/>
      <c r="M3" s="20"/>
      <c r="N3" s="79"/>
    </row>
    <row r="4" spans="1:53" s="3" customFormat="1" ht="18" x14ac:dyDescent="0.4">
      <c r="A4" s="156" t="str">
        <f>'User Input'!C25</f>
        <v>Telemedicine medical visits (MD Live)</v>
      </c>
      <c r="B4" s="78">
        <f>'User Input'!E25</f>
        <v>0</v>
      </c>
      <c r="C4" s="78">
        <f>'User Input'!F25</f>
        <v>0</v>
      </c>
      <c r="D4" s="78">
        <f>'User Input'!G25</f>
        <v>0</v>
      </c>
      <c r="E4" s="78">
        <f>'User Input'!H25</f>
        <v>0</v>
      </c>
      <c r="F4" s="78">
        <f>'User Input'!I25</f>
        <v>0</v>
      </c>
      <c r="G4" s="78">
        <f>'User Input'!J25</f>
        <v>0</v>
      </c>
      <c r="H4" s="78">
        <f t="shared" si="0"/>
        <v>0</v>
      </c>
      <c r="I4" s="153">
        <f>'User Input'!D25</f>
        <v>48</v>
      </c>
      <c r="J4" s="153">
        <f t="shared" si="1"/>
        <v>0</v>
      </c>
      <c r="K4" s="244"/>
      <c r="L4" s="96"/>
      <c r="M4" s="20"/>
      <c r="N4" s="79"/>
    </row>
    <row r="5" spans="1:53" s="3" customFormat="1" ht="31.5" x14ac:dyDescent="0.4">
      <c r="A5" s="156" t="str">
        <f>'User Input'!C26</f>
        <v>Primary care office visits (excluding HWC visits on line b, above)</v>
      </c>
      <c r="B5" s="253">
        <f>'User Input'!E26</f>
        <v>0</v>
      </c>
      <c r="C5" s="253">
        <f>'User Input'!F26</f>
        <v>0</v>
      </c>
      <c r="D5" s="253">
        <f>'User Input'!G26</f>
        <v>0</v>
      </c>
      <c r="E5" s="253">
        <f>'User Input'!H26</f>
        <v>0</v>
      </c>
      <c r="F5" s="253">
        <f>'User Input'!I26</f>
        <v>0</v>
      </c>
      <c r="G5" s="253">
        <f>'User Input'!J26</f>
        <v>0</v>
      </c>
      <c r="H5" s="78">
        <f t="shared" si="0"/>
        <v>0</v>
      </c>
      <c r="I5" s="153">
        <f>'User Input'!D26</f>
        <v>150</v>
      </c>
      <c r="J5" s="153">
        <f t="shared" si="1"/>
        <v>0</v>
      </c>
      <c r="K5" s="252" t="s">
        <v>163</v>
      </c>
      <c r="L5" s="96"/>
      <c r="M5" s="20"/>
      <c r="N5" s="79"/>
    </row>
    <row r="6" spans="1:53" s="3" customFormat="1" ht="31.5" x14ac:dyDescent="0.4">
      <c r="A6" s="156" t="str">
        <f>'User Input'!C27</f>
        <v>Other office visits (specialists, urgent care, mental health provider) due to illness, injury or disease management</v>
      </c>
      <c r="B6" s="78">
        <f>'User Input'!E27</f>
        <v>0</v>
      </c>
      <c r="C6" s="78">
        <f>'User Input'!F27</f>
        <v>0</v>
      </c>
      <c r="D6" s="78">
        <f>'User Input'!G27</f>
        <v>0</v>
      </c>
      <c r="E6" s="78">
        <f>'User Input'!H27</f>
        <v>0</v>
      </c>
      <c r="F6" s="78">
        <f>'User Input'!I27</f>
        <v>0</v>
      </c>
      <c r="G6" s="78">
        <f>'User Input'!J27</f>
        <v>0</v>
      </c>
      <c r="H6" s="78">
        <f t="shared" si="0"/>
        <v>0</v>
      </c>
      <c r="I6" s="153">
        <f>'User Input'!D27</f>
        <v>150</v>
      </c>
      <c r="J6" s="153">
        <f>+H6*I6</f>
        <v>0</v>
      </c>
      <c r="L6" s="96"/>
      <c r="M6" s="20"/>
      <c r="N6" s="79"/>
    </row>
    <row r="7" spans="1:53" s="98" customFormat="1" ht="31.5" x14ac:dyDescent="0.4">
      <c r="A7" s="156" t="str">
        <f>'User Input'!C28</f>
        <v>Physical, occupational, speech, chiropractic or acupuncture therapy visits</v>
      </c>
      <c r="B7" s="78">
        <f>'User Input'!E28</f>
        <v>0</v>
      </c>
      <c r="C7" s="78">
        <f>'User Input'!F28</f>
        <v>0</v>
      </c>
      <c r="D7" s="78">
        <f>'User Input'!G28</f>
        <v>0</v>
      </c>
      <c r="E7" s="78">
        <f>'User Input'!H28</f>
        <v>0</v>
      </c>
      <c r="F7" s="78">
        <f>'User Input'!I28</f>
        <v>0</v>
      </c>
      <c r="G7" s="78">
        <f>'User Input'!J28</f>
        <v>0</v>
      </c>
      <c r="H7" s="78">
        <f t="shared" si="0"/>
        <v>0</v>
      </c>
      <c r="I7" s="153">
        <f>'User Input'!D28</f>
        <v>150</v>
      </c>
      <c r="J7" s="153">
        <f t="shared" si="1"/>
        <v>0</v>
      </c>
      <c r="K7" s="244"/>
      <c r="L7" s="96"/>
      <c r="M7" s="20"/>
      <c r="N7" s="97"/>
      <c r="AE7" s="3"/>
      <c r="AF7" s="3"/>
      <c r="AG7" s="3"/>
      <c r="AH7" s="3"/>
      <c r="AI7" s="3"/>
      <c r="AJ7" s="3"/>
    </row>
    <row r="8" spans="1:53" s="98" customFormat="1" ht="31.5" x14ac:dyDescent="0.4">
      <c r="A8" s="156" t="str">
        <f>'User Input'!C29</f>
        <v>Inpatient hospital admissions (separate admissions, not days hospitalized)</v>
      </c>
      <c r="B8" s="78">
        <f>'User Input'!E29</f>
        <v>0</v>
      </c>
      <c r="C8" s="78">
        <f>'User Input'!F29</f>
        <v>0</v>
      </c>
      <c r="D8" s="177">
        <f>'User Input'!G29</f>
        <v>0</v>
      </c>
      <c r="E8" s="177">
        <f>'User Input'!H29</f>
        <v>0</v>
      </c>
      <c r="F8" s="177">
        <f>'User Input'!I29</f>
        <v>0</v>
      </c>
      <c r="G8" s="177">
        <f>'User Input'!J29</f>
        <v>0</v>
      </c>
      <c r="H8" s="78">
        <f t="shared" si="0"/>
        <v>0</v>
      </c>
      <c r="I8" s="153">
        <f>'User Input'!D29</f>
        <v>40000</v>
      </c>
      <c r="J8" s="153">
        <f t="shared" si="1"/>
        <v>0</v>
      </c>
      <c r="K8" s="244"/>
      <c r="L8" s="96"/>
      <c r="M8" s="20"/>
      <c r="N8" s="97"/>
      <c r="AE8" s="3"/>
      <c r="AF8" s="3"/>
      <c r="AG8" s="3"/>
      <c r="AH8" s="3"/>
      <c r="AI8" s="3"/>
      <c r="AJ8" s="3"/>
    </row>
    <row r="9" spans="1:53" s="97" customFormat="1" ht="18" x14ac:dyDescent="0.4">
      <c r="A9" s="156" t="str">
        <f>'User Input'!C30</f>
        <v>Emergency room visits (without  in-patient admission)</v>
      </c>
      <c r="B9" s="78">
        <f>'User Input'!E30</f>
        <v>0</v>
      </c>
      <c r="C9" s="78">
        <f>'User Input'!F30</f>
        <v>0</v>
      </c>
      <c r="D9" s="78">
        <f>'User Input'!G30</f>
        <v>0</v>
      </c>
      <c r="E9" s="78">
        <f>'User Input'!H30</f>
        <v>0</v>
      </c>
      <c r="F9" s="78">
        <f>'User Input'!I30</f>
        <v>0</v>
      </c>
      <c r="G9" s="78">
        <f>'User Input'!J30</f>
        <v>0</v>
      </c>
      <c r="H9" s="78">
        <f t="shared" si="0"/>
        <v>0</v>
      </c>
      <c r="I9" s="153">
        <f>'User Input'!D30</f>
        <v>3500</v>
      </c>
      <c r="J9" s="153">
        <f t="shared" si="1"/>
        <v>0</v>
      </c>
      <c r="K9" s="244"/>
      <c r="L9" s="96"/>
      <c r="M9" s="20"/>
      <c r="AE9" s="3"/>
      <c r="AF9" s="3"/>
      <c r="AG9" s="3"/>
      <c r="AH9" s="3"/>
      <c r="AI9" s="3"/>
      <c r="AJ9" s="3"/>
    </row>
    <row r="10" spans="1:53" s="97" customFormat="1" ht="63" x14ac:dyDescent="0.4">
      <c r="A10" s="156" t="str">
        <f>'User Input'!C31</f>
        <v>Other services not listed above; estimate total network charges via Estimate Your Cost at www.anthem.com/ca/sisc or by review of prior years' Explanations of Benefits</v>
      </c>
      <c r="B10" s="78">
        <f>'User Input'!E31</f>
        <v>0</v>
      </c>
      <c r="C10" s="78">
        <f>'User Input'!F31</f>
        <v>0</v>
      </c>
      <c r="D10" s="78">
        <f>'User Input'!G31</f>
        <v>0</v>
      </c>
      <c r="E10" s="78">
        <f>'User Input'!H31</f>
        <v>0</v>
      </c>
      <c r="F10" s="78">
        <f>'User Input'!I31</f>
        <v>0</v>
      </c>
      <c r="G10" s="78">
        <f>'User Input'!J31</f>
        <v>0</v>
      </c>
      <c r="H10" s="78">
        <f t="shared" si="0"/>
        <v>0</v>
      </c>
      <c r="I10" s="153" t="str">
        <f>'User Input'!D31</f>
        <v>n/a</v>
      </c>
      <c r="J10" s="153">
        <f>H10</f>
        <v>0</v>
      </c>
      <c r="K10" s="244"/>
      <c r="L10" s="96"/>
      <c r="M10" s="20"/>
      <c r="AE10" s="3"/>
      <c r="AF10" s="3"/>
      <c r="AG10" s="3"/>
      <c r="AH10" s="3"/>
      <c r="AI10" s="3"/>
      <c r="AJ10" s="3"/>
    </row>
    <row r="11" spans="1:53" s="97" customFormat="1" ht="47.25" x14ac:dyDescent="0.4">
      <c r="A11" s="156" t="str">
        <f>'User Input'!C32</f>
        <v>Surgeries contracted with Carrum Health (hip/knee replacement or spinal fusion -- at Carrum facility, only); not available on Kaiser plans</v>
      </c>
      <c r="B11" s="78">
        <f>'User Input'!E32</f>
        <v>0</v>
      </c>
      <c r="C11" s="78">
        <f>'User Input'!F32</f>
        <v>0</v>
      </c>
      <c r="D11" s="78">
        <f>'User Input'!G32</f>
        <v>0</v>
      </c>
      <c r="E11" s="78">
        <f>'User Input'!H32</f>
        <v>0</v>
      </c>
      <c r="F11" s="78">
        <f>'User Input'!I32</f>
        <v>0</v>
      </c>
      <c r="G11" s="78">
        <f>'User Input'!J32</f>
        <v>0</v>
      </c>
      <c r="H11" s="78">
        <f t="shared" si="0"/>
        <v>0</v>
      </c>
      <c r="I11" s="153">
        <f>'User Input'!D32</f>
        <v>30000</v>
      </c>
      <c r="J11" s="153">
        <f t="shared" si="1"/>
        <v>0</v>
      </c>
      <c r="K11" s="244"/>
      <c r="L11" s="96"/>
      <c r="M11" s="20"/>
      <c r="AE11" s="3"/>
      <c r="AF11" s="3"/>
      <c r="AG11" s="3"/>
      <c r="AH11" s="3"/>
      <c r="AI11" s="3"/>
      <c r="AJ11" s="3"/>
    </row>
    <row r="12" spans="1:53" x14ac:dyDescent="0.25">
      <c r="A12" s="157" t="s">
        <v>144</v>
      </c>
      <c r="B12" s="78">
        <f>+SUMPRODUCT(ClaimsEE,UnitCost)</f>
        <v>0</v>
      </c>
      <c r="C12" s="78">
        <f>+SUMPRODUCT(ClaimsSP,UnitCost)</f>
        <v>0</v>
      </c>
      <c r="D12" s="78">
        <f>+SUMPRODUCT(ClaimsC1,UnitCost)</f>
        <v>0</v>
      </c>
      <c r="E12" s="78">
        <f>+SUMPRODUCT(ClaimsC2,UnitCost)</f>
        <v>0</v>
      </c>
      <c r="F12" s="78">
        <f>+SUMPRODUCT(ClaimsC3,UnitCost)</f>
        <v>0</v>
      </c>
      <c r="G12" s="78">
        <f>+SUMPRODUCT(ClaimsC4,UnitCost)</f>
        <v>0</v>
      </c>
      <c r="H12" s="78">
        <f t="shared" si="0"/>
        <v>0</v>
      </c>
      <c r="I12" s="159"/>
      <c r="J12" s="78">
        <f>SUM(J2:J11)</f>
        <v>0</v>
      </c>
      <c r="K12" s="94"/>
    </row>
    <row r="13" spans="1:53" x14ac:dyDescent="0.25">
      <c r="A13" s="99"/>
      <c r="B13" s="94"/>
      <c r="C13" s="94"/>
      <c r="D13" s="94"/>
      <c r="E13" s="94"/>
      <c r="F13" s="94"/>
      <c r="G13" s="94"/>
      <c r="H13" s="94"/>
      <c r="J13" s="104"/>
      <c r="K13" s="104"/>
    </row>
    <row r="14" spans="1:53" x14ac:dyDescent="0.25">
      <c r="A14" s="99"/>
      <c r="B14" s="94"/>
      <c r="C14" s="94"/>
      <c r="D14" s="94"/>
      <c r="E14" s="94"/>
      <c r="F14" s="94"/>
      <c r="G14" s="94"/>
      <c r="H14" s="94"/>
      <c r="J14" s="104"/>
      <c r="K14" s="104"/>
      <c r="O14" s="102" t="s">
        <v>115</v>
      </c>
      <c r="P14" s="102"/>
      <c r="Q14" s="102"/>
      <c r="R14" s="102"/>
      <c r="S14" s="102"/>
      <c r="T14" s="102"/>
      <c r="U14" s="100"/>
      <c r="W14" s="102" t="s">
        <v>116</v>
      </c>
      <c r="X14" s="102"/>
      <c r="Y14" s="102"/>
      <c r="Z14" s="102"/>
      <c r="AA14" s="102"/>
      <c r="AB14" s="102"/>
      <c r="AC14" s="100"/>
      <c r="AE14" s="102" t="s">
        <v>149</v>
      </c>
      <c r="AF14" s="102"/>
      <c r="AG14" s="102"/>
      <c r="AH14" s="102"/>
      <c r="AI14" s="102"/>
      <c r="AJ14" s="102"/>
      <c r="AK14" s="100"/>
      <c r="AM14" s="102" t="s">
        <v>114</v>
      </c>
      <c r="AN14" s="102"/>
      <c r="AO14" s="102"/>
      <c r="AP14" s="102"/>
      <c r="AQ14" s="102"/>
      <c r="AR14" s="102"/>
      <c r="AS14" s="100"/>
      <c r="AU14" s="102" t="s">
        <v>154</v>
      </c>
      <c r="AV14" s="102"/>
      <c r="AW14" s="102"/>
      <c r="AX14" s="102"/>
      <c r="AY14" s="102"/>
      <c r="AZ14" s="102"/>
      <c r="BA14" s="100"/>
    </row>
    <row r="15" spans="1:53" ht="78.75" x14ac:dyDescent="0.25">
      <c r="A15" s="95"/>
      <c r="B15" s="94"/>
      <c r="C15" s="94"/>
      <c r="D15" s="94"/>
      <c r="E15" s="94"/>
      <c r="F15" s="94"/>
      <c r="G15" s="94"/>
      <c r="H15" s="94"/>
      <c r="I15" s="101" t="s">
        <v>126</v>
      </c>
      <c r="J15" s="229" t="s">
        <v>92</v>
      </c>
      <c r="K15" s="229" t="s">
        <v>150</v>
      </c>
      <c r="L15" s="138" t="s">
        <v>127</v>
      </c>
      <c r="M15" s="138" t="s">
        <v>128</v>
      </c>
      <c r="N15" s="138" t="s">
        <v>153</v>
      </c>
      <c r="O15" s="2" t="s">
        <v>0</v>
      </c>
      <c r="P15" s="2" t="s">
        <v>1</v>
      </c>
      <c r="Q15" s="2" t="s">
        <v>2</v>
      </c>
      <c r="R15" s="2" t="s">
        <v>3</v>
      </c>
      <c r="S15" s="2" t="s">
        <v>4</v>
      </c>
      <c r="T15" s="2" t="s">
        <v>5</v>
      </c>
      <c r="U15" s="2" t="s">
        <v>111</v>
      </c>
      <c r="V15" s="137"/>
      <c r="W15" s="2" t="s">
        <v>0</v>
      </c>
      <c r="X15" s="2" t="s">
        <v>1</v>
      </c>
      <c r="Y15" s="2" t="s">
        <v>2</v>
      </c>
      <c r="Z15" s="2" t="s">
        <v>3</v>
      </c>
      <c r="AA15" s="2" t="s">
        <v>4</v>
      </c>
      <c r="AB15" s="2" t="s">
        <v>5</v>
      </c>
      <c r="AC15" s="2" t="s">
        <v>111</v>
      </c>
      <c r="AD15" s="137"/>
      <c r="AE15" s="2" t="s">
        <v>0</v>
      </c>
      <c r="AF15" s="2" t="s">
        <v>1</v>
      </c>
      <c r="AG15" s="2" t="s">
        <v>2</v>
      </c>
      <c r="AH15" s="2" t="s">
        <v>3</v>
      </c>
      <c r="AI15" s="2" t="s">
        <v>4</v>
      </c>
      <c r="AJ15" s="2" t="s">
        <v>5</v>
      </c>
      <c r="AK15" s="2" t="s">
        <v>111</v>
      </c>
      <c r="AM15" s="2" t="s">
        <v>0</v>
      </c>
      <c r="AN15" s="2" t="s">
        <v>1</v>
      </c>
      <c r="AO15" s="2" t="s">
        <v>2</v>
      </c>
      <c r="AP15" s="2" t="s">
        <v>3</v>
      </c>
      <c r="AQ15" s="2" t="s">
        <v>4</v>
      </c>
      <c r="AR15" s="2" t="s">
        <v>5</v>
      </c>
      <c r="AS15" s="2" t="s">
        <v>111</v>
      </c>
      <c r="AU15" s="2" t="s">
        <v>0</v>
      </c>
      <c r="AV15" s="2" t="s">
        <v>1</v>
      </c>
      <c r="AW15" s="2" t="s">
        <v>2</v>
      </c>
      <c r="AX15" s="2" t="s">
        <v>3</v>
      </c>
      <c r="AY15" s="2" t="s">
        <v>4</v>
      </c>
      <c r="AZ15" s="2" t="s">
        <v>5</v>
      </c>
      <c r="BA15" s="2" t="s">
        <v>111</v>
      </c>
    </row>
    <row r="16" spans="1:53" ht="16.5" customHeight="1" x14ac:dyDescent="0.25">
      <c r="A16" s="95" t="str">
        <f>'User Input'!C35</f>
        <v>Generic filled at Costco (up to 30 day supply for an acute/episodic illness)</v>
      </c>
      <c r="B16" s="78">
        <f>'User Input'!E35</f>
        <v>0</v>
      </c>
      <c r="C16" s="78">
        <f>'User Input'!F35</f>
        <v>0</v>
      </c>
      <c r="D16" s="78">
        <f>'User Input'!G35</f>
        <v>0</v>
      </c>
      <c r="E16" s="78">
        <f>'User Input'!H35</f>
        <v>0</v>
      </c>
      <c r="F16" s="78">
        <f>'User Input'!I35</f>
        <v>0</v>
      </c>
      <c r="G16" s="78">
        <f>'User Input'!J35</f>
        <v>0</v>
      </c>
      <c r="H16" s="78">
        <f t="shared" ref="H16:H23" si="2">SUM(B16:G16)</f>
        <v>0</v>
      </c>
      <c r="I16" s="160">
        <f>'User Input'!D35</f>
        <v>15</v>
      </c>
      <c r="J16" s="230">
        <f>+H16*I16</f>
        <v>0</v>
      </c>
      <c r="K16" s="230">
        <v>1</v>
      </c>
      <c r="L16" s="158">
        <v>0</v>
      </c>
      <c r="M16" s="158">
        <v>0</v>
      </c>
      <c r="N16" s="158">
        <v>0</v>
      </c>
      <c r="O16" s="104">
        <f>+B16*$L16*$K16</f>
        <v>0</v>
      </c>
      <c r="P16" s="104">
        <f t="shared" ref="P16:P22" si="3">+C16*$L16*$K16</f>
        <v>0</v>
      </c>
      <c r="Q16" s="104">
        <f t="shared" ref="Q16:Q22" si="4">+D16*$L16*$K16</f>
        <v>0</v>
      </c>
      <c r="R16" s="104">
        <f t="shared" ref="R16:R22" si="5">+E16*$L16*$K16</f>
        <v>0</v>
      </c>
      <c r="S16" s="104">
        <f t="shared" ref="S16:S22" si="6">+F16*$L16*$K16</f>
        <v>0</v>
      </c>
      <c r="T16" s="104">
        <f t="shared" ref="T16:T22" si="7">+G16*$L16*$K16</f>
        <v>0</v>
      </c>
      <c r="U16" s="103">
        <f t="shared" ref="U16:U23" si="8">SUM(O16:T16)</f>
        <v>0</v>
      </c>
      <c r="V16" s="104"/>
      <c r="W16" s="104">
        <f>+B16*$M16*$K16</f>
        <v>0</v>
      </c>
      <c r="X16" s="104">
        <f t="shared" ref="X16:X22" si="9">+C16*$M16*$K16</f>
        <v>0</v>
      </c>
      <c r="Y16" s="104">
        <f t="shared" ref="Y16:Y22" si="10">+D16*$M16*$K16</f>
        <v>0</v>
      </c>
      <c r="Z16" s="104">
        <f t="shared" ref="Z16:Z22" si="11">+E16*$M16*$K16</f>
        <v>0</v>
      </c>
      <c r="AA16" s="104">
        <f t="shared" ref="AA16:AA22" si="12">+F16*$M16*$K16</f>
        <v>0</v>
      </c>
      <c r="AB16" s="104">
        <f t="shared" ref="AB16:AB22" si="13">+G16*$M16*$K16</f>
        <v>0</v>
      </c>
      <c r="AC16" s="103">
        <f t="shared" ref="AC16:AC23" si="14">SUM(W16:AB16)</f>
        <v>0</v>
      </c>
      <c r="AD16" s="104"/>
      <c r="AE16" s="104">
        <f>+B16*$N16*$K16</f>
        <v>0</v>
      </c>
      <c r="AF16" s="104">
        <f t="shared" ref="AF16:AJ22" si="15">+C16*$N16*$K16</f>
        <v>0</v>
      </c>
      <c r="AG16" s="104">
        <f t="shared" si="15"/>
        <v>0</v>
      </c>
      <c r="AH16" s="104">
        <f t="shared" si="15"/>
        <v>0</v>
      </c>
      <c r="AI16" s="104">
        <f t="shared" si="15"/>
        <v>0</v>
      </c>
      <c r="AJ16" s="104">
        <f t="shared" si="15"/>
        <v>0</v>
      </c>
      <c r="AK16" s="103">
        <f>SUM(AE16:AJ16)</f>
        <v>0</v>
      </c>
      <c r="AM16" s="104">
        <f>+B16*$I16*$K16</f>
        <v>0</v>
      </c>
      <c r="AN16" s="104">
        <f t="shared" ref="AN16:AN22" si="16">+C16*$I16*$K16</f>
        <v>0</v>
      </c>
      <c r="AO16" s="104">
        <f t="shared" ref="AO16:AO22" si="17">+D16*$I16*$K16</f>
        <v>0</v>
      </c>
      <c r="AP16" s="104">
        <f t="shared" ref="AP16:AP22" si="18">+E16*$I16*$K16</f>
        <v>0</v>
      </c>
      <c r="AQ16" s="104">
        <f t="shared" ref="AQ16:AQ22" si="19">+F16*$I16*$K16</f>
        <v>0</v>
      </c>
      <c r="AR16" s="104">
        <f t="shared" ref="AR16:AR22" si="20">+G16*$I16*$K16</f>
        <v>0</v>
      </c>
      <c r="AS16" s="103">
        <f>SUM(AM16:AR16)</f>
        <v>0</v>
      </c>
      <c r="AU16" s="170">
        <f t="shared" ref="AU16:AU21" si="21">+AU17+AM16</f>
        <v>0</v>
      </c>
      <c r="AV16" s="170">
        <f t="shared" ref="AV16:AZ21" si="22">+AV17+AN16</f>
        <v>0</v>
      </c>
      <c r="AW16" s="170">
        <f t="shared" si="22"/>
        <v>0</v>
      </c>
      <c r="AX16" s="170">
        <f t="shared" si="22"/>
        <v>0</v>
      </c>
      <c r="AY16" s="170">
        <f t="shared" si="22"/>
        <v>0</v>
      </c>
      <c r="AZ16" s="170">
        <f t="shared" si="22"/>
        <v>0</v>
      </c>
      <c r="BA16" s="170"/>
    </row>
    <row r="17" spans="1:53" ht="31.5" x14ac:dyDescent="0.25">
      <c r="A17" s="95" t="str">
        <f>'User Input'!C36</f>
        <v>Generic filled at a retail pharmacy other than Walgreen's (up to 30 day supply for an acute/episodic illness)</v>
      </c>
      <c r="B17" s="78">
        <f>'User Input'!E36</f>
        <v>0</v>
      </c>
      <c r="C17" s="78">
        <f>'User Input'!F36</f>
        <v>0</v>
      </c>
      <c r="D17" s="78">
        <f>'User Input'!G36</f>
        <v>0</v>
      </c>
      <c r="E17" s="78">
        <f>'User Input'!H36</f>
        <v>0</v>
      </c>
      <c r="F17" s="78">
        <f>'User Input'!I36</f>
        <v>0</v>
      </c>
      <c r="G17" s="78">
        <f>'User Input'!J36</f>
        <v>0</v>
      </c>
      <c r="H17" s="78">
        <f t="shared" si="2"/>
        <v>0</v>
      </c>
      <c r="I17" s="160">
        <f>'User Input'!D36</f>
        <v>20</v>
      </c>
      <c r="J17" s="230">
        <f t="shared" ref="J17:J18" si="23">+H17*I17</f>
        <v>0</v>
      </c>
      <c r="K17" s="230">
        <v>1</v>
      </c>
      <c r="L17" s="158">
        <v>7</v>
      </c>
      <c r="M17" s="158">
        <v>10</v>
      </c>
      <c r="N17" s="158">
        <v>9</v>
      </c>
      <c r="O17" s="104">
        <f t="shared" ref="O17:O22" si="24">+B17*$L17*$K17</f>
        <v>0</v>
      </c>
      <c r="P17" s="104">
        <f t="shared" si="3"/>
        <v>0</v>
      </c>
      <c r="Q17" s="104">
        <f t="shared" si="4"/>
        <v>0</v>
      </c>
      <c r="R17" s="104">
        <f t="shared" si="5"/>
        <v>0</v>
      </c>
      <c r="S17" s="104">
        <f t="shared" si="6"/>
        <v>0</v>
      </c>
      <c r="T17" s="104">
        <f t="shared" si="7"/>
        <v>0</v>
      </c>
      <c r="U17" s="103">
        <f t="shared" si="8"/>
        <v>0</v>
      </c>
      <c r="V17" s="104"/>
      <c r="W17" s="104">
        <f t="shared" ref="W17:W22" si="25">+B17*$M17*$K17</f>
        <v>0</v>
      </c>
      <c r="X17" s="104">
        <f t="shared" si="9"/>
        <v>0</v>
      </c>
      <c r="Y17" s="104">
        <f t="shared" si="10"/>
        <v>0</v>
      </c>
      <c r="Z17" s="104">
        <f t="shared" si="11"/>
        <v>0</v>
      </c>
      <c r="AA17" s="104">
        <f t="shared" si="12"/>
        <v>0</v>
      </c>
      <c r="AB17" s="104">
        <f t="shared" si="13"/>
        <v>0</v>
      </c>
      <c r="AC17" s="103">
        <f t="shared" si="14"/>
        <v>0</v>
      </c>
      <c r="AD17" s="104"/>
      <c r="AE17" s="104">
        <f t="shared" ref="AE17:AE22" si="26">+B17*$N17*$K17</f>
        <v>0</v>
      </c>
      <c r="AF17" s="104">
        <f t="shared" si="15"/>
        <v>0</v>
      </c>
      <c r="AG17" s="104">
        <f t="shared" si="15"/>
        <v>0</v>
      </c>
      <c r="AH17" s="104">
        <f t="shared" si="15"/>
        <v>0</v>
      </c>
      <c r="AI17" s="104">
        <f t="shared" si="15"/>
        <v>0</v>
      </c>
      <c r="AJ17" s="104">
        <f t="shared" si="15"/>
        <v>0</v>
      </c>
      <c r="AK17" s="103">
        <f t="shared" ref="AK17:AK22" si="27">SUM(AE17:AJ17)</f>
        <v>0</v>
      </c>
      <c r="AM17" s="104">
        <f t="shared" ref="AM17:AM22" si="28">+B17*$I17*$K17</f>
        <v>0</v>
      </c>
      <c r="AN17" s="104">
        <f t="shared" si="16"/>
        <v>0</v>
      </c>
      <c r="AO17" s="104">
        <f t="shared" si="17"/>
        <v>0</v>
      </c>
      <c r="AP17" s="104">
        <f t="shared" si="18"/>
        <v>0</v>
      </c>
      <c r="AQ17" s="104">
        <f t="shared" si="19"/>
        <v>0</v>
      </c>
      <c r="AR17" s="104">
        <f t="shared" si="20"/>
        <v>0</v>
      </c>
      <c r="AS17" s="103">
        <f t="shared" ref="AS17:AS22" si="29">SUM(AM17:AR17)</f>
        <v>0</v>
      </c>
      <c r="AU17" s="170">
        <f t="shared" si="21"/>
        <v>0</v>
      </c>
      <c r="AV17" s="170">
        <f t="shared" si="22"/>
        <v>0</v>
      </c>
      <c r="AW17" s="170">
        <f t="shared" si="22"/>
        <v>0</v>
      </c>
      <c r="AX17" s="170">
        <f t="shared" si="22"/>
        <v>0</v>
      </c>
      <c r="AY17" s="170">
        <f t="shared" si="22"/>
        <v>0</v>
      </c>
      <c r="AZ17" s="170">
        <f t="shared" si="22"/>
        <v>0</v>
      </c>
      <c r="BA17" s="170"/>
    </row>
    <row r="18" spans="1:53" ht="31.5" x14ac:dyDescent="0.25">
      <c r="A18" s="95" t="str">
        <f>'User Input'!C37</f>
        <v>Brand filled at a retail pharmacy other than Walgreen's (up to 30-day supply for an acute/episodic illness)</v>
      </c>
      <c r="B18" s="78">
        <f>'User Input'!E37</f>
        <v>0</v>
      </c>
      <c r="C18" s="78">
        <f>'User Input'!F37</f>
        <v>0</v>
      </c>
      <c r="D18" s="78">
        <f>'User Input'!G37</f>
        <v>0</v>
      </c>
      <c r="E18" s="78">
        <f>'User Input'!H37</f>
        <v>0</v>
      </c>
      <c r="F18" s="78">
        <f>'User Input'!I37</f>
        <v>0</v>
      </c>
      <c r="G18" s="78">
        <f>'User Input'!J37</f>
        <v>0</v>
      </c>
      <c r="H18" s="78">
        <f t="shared" si="2"/>
        <v>0</v>
      </c>
      <c r="I18" s="160">
        <f>'User Input'!D37</f>
        <v>250</v>
      </c>
      <c r="J18" s="230">
        <f t="shared" si="23"/>
        <v>0</v>
      </c>
      <c r="K18" s="230">
        <v>1</v>
      </c>
      <c r="L18" s="158">
        <v>25</v>
      </c>
      <c r="M18" s="158">
        <v>35</v>
      </c>
      <c r="N18" s="158">
        <v>35</v>
      </c>
      <c r="O18" s="104">
        <f t="shared" si="24"/>
        <v>0</v>
      </c>
      <c r="P18" s="104">
        <f t="shared" si="3"/>
        <v>0</v>
      </c>
      <c r="Q18" s="104">
        <f t="shared" si="4"/>
        <v>0</v>
      </c>
      <c r="R18" s="104">
        <f t="shared" si="5"/>
        <v>0</v>
      </c>
      <c r="S18" s="104">
        <f t="shared" si="6"/>
        <v>0</v>
      </c>
      <c r="T18" s="104">
        <f t="shared" si="7"/>
        <v>0</v>
      </c>
      <c r="U18" s="103">
        <f t="shared" si="8"/>
        <v>0</v>
      </c>
      <c r="V18" s="104"/>
      <c r="W18" s="104">
        <f t="shared" si="25"/>
        <v>0</v>
      </c>
      <c r="X18" s="104">
        <f t="shared" si="9"/>
        <v>0</v>
      </c>
      <c r="Y18" s="104">
        <f t="shared" si="10"/>
        <v>0</v>
      </c>
      <c r="Z18" s="104">
        <f t="shared" si="11"/>
        <v>0</v>
      </c>
      <c r="AA18" s="104">
        <f t="shared" si="12"/>
        <v>0</v>
      </c>
      <c r="AB18" s="104">
        <f t="shared" si="13"/>
        <v>0</v>
      </c>
      <c r="AC18" s="103">
        <f t="shared" si="14"/>
        <v>0</v>
      </c>
      <c r="AD18" s="104"/>
      <c r="AE18" s="104">
        <f t="shared" si="26"/>
        <v>0</v>
      </c>
      <c r="AF18" s="104">
        <f t="shared" si="15"/>
        <v>0</v>
      </c>
      <c r="AG18" s="104">
        <f t="shared" si="15"/>
        <v>0</v>
      </c>
      <c r="AH18" s="104">
        <f t="shared" si="15"/>
        <v>0</v>
      </c>
      <c r="AI18" s="104">
        <f t="shared" si="15"/>
        <v>0</v>
      </c>
      <c r="AJ18" s="104">
        <f t="shared" si="15"/>
        <v>0</v>
      </c>
      <c r="AK18" s="103">
        <f t="shared" si="27"/>
        <v>0</v>
      </c>
      <c r="AM18" s="104">
        <f t="shared" si="28"/>
        <v>0</v>
      </c>
      <c r="AN18" s="104">
        <f t="shared" si="16"/>
        <v>0</v>
      </c>
      <c r="AO18" s="104">
        <f t="shared" si="17"/>
        <v>0</v>
      </c>
      <c r="AP18" s="104">
        <f t="shared" si="18"/>
        <v>0</v>
      </c>
      <c r="AQ18" s="104">
        <f t="shared" si="19"/>
        <v>0</v>
      </c>
      <c r="AR18" s="104">
        <f t="shared" si="20"/>
        <v>0</v>
      </c>
      <c r="AS18" s="103">
        <f t="shared" si="29"/>
        <v>0</v>
      </c>
      <c r="AU18" s="170">
        <f t="shared" si="21"/>
        <v>0</v>
      </c>
      <c r="AV18" s="170">
        <f t="shared" si="22"/>
        <v>0</v>
      </c>
      <c r="AW18" s="170">
        <f t="shared" si="22"/>
        <v>0</v>
      </c>
      <c r="AX18" s="170">
        <f t="shared" si="22"/>
        <v>0</v>
      </c>
      <c r="AY18" s="170">
        <f t="shared" si="22"/>
        <v>0</v>
      </c>
      <c r="AZ18" s="170">
        <f t="shared" si="22"/>
        <v>0</v>
      </c>
      <c r="BA18" s="170"/>
    </row>
    <row r="19" spans="1:53" x14ac:dyDescent="0.25">
      <c r="A19" s="95" t="str">
        <f>'User Input'!C38</f>
        <v>Generic maintenance filled at Costco (mail order or retail)</v>
      </c>
      <c r="B19" s="78">
        <f>'User Input'!E38</f>
        <v>0</v>
      </c>
      <c r="C19" s="78">
        <f>'User Input'!F38</f>
        <v>0</v>
      </c>
      <c r="D19" s="78">
        <f>'User Input'!G38</f>
        <v>0</v>
      </c>
      <c r="E19" s="78">
        <f>'User Input'!H38</f>
        <v>0</v>
      </c>
      <c r="F19" s="78">
        <f>'User Input'!I38</f>
        <v>0</v>
      </c>
      <c r="G19" s="78">
        <f>'User Input'!J38</f>
        <v>0</v>
      </c>
      <c r="H19" s="78">
        <f t="shared" si="2"/>
        <v>0</v>
      </c>
      <c r="I19" s="160">
        <f>'User Input'!D38</f>
        <v>60</v>
      </c>
      <c r="J19" s="230">
        <f>+H19*I19*4</f>
        <v>0</v>
      </c>
      <c r="K19" s="230">
        <v>4</v>
      </c>
      <c r="L19" s="158">
        <v>0</v>
      </c>
      <c r="M19" s="158">
        <v>0</v>
      </c>
      <c r="N19" s="158">
        <v>0</v>
      </c>
      <c r="O19" s="104">
        <f t="shared" si="24"/>
        <v>0</v>
      </c>
      <c r="P19" s="104">
        <f t="shared" si="3"/>
        <v>0</v>
      </c>
      <c r="Q19" s="104">
        <f t="shared" si="4"/>
        <v>0</v>
      </c>
      <c r="R19" s="104">
        <f t="shared" si="5"/>
        <v>0</v>
      </c>
      <c r="S19" s="104">
        <f t="shared" si="6"/>
        <v>0</v>
      </c>
      <c r="T19" s="104">
        <f t="shared" si="7"/>
        <v>0</v>
      </c>
      <c r="U19" s="103">
        <f t="shared" si="8"/>
        <v>0</v>
      </c>
      <c r="V19" s="104"/>
      <c r="W19" s="104">
        <f t="shared" si="25"/>
        <v>0</v>
      </c>
      <c r="X19" s="104">
        <f t="shared" si="9"/>
        <v>0</v>
      </c>
      <c r="Y19" s="104">
        <f t="shared" si="10"/>
        <v>0</v>
      </c>
      <c r="Z19" s="104">
        <f t="shared" si="11"/>
        <v>0</v>
      </c>
      <c r="AA19" s="104">
        <f t="shared" si="12"/>
        <v>0</v>
      </c>
      <c r="AB19" s="104">
        <f t="shared" si="13"/>
        <v>0</v>
      </c>
      <c r="AC19" s="103">
        <f t="shared" si="14"/>
        <v>0</v>
      </c>
      <c r="AD19" s="104"/>
      <c r="AE19" s="104">
        <f t="shared" si="26"/>
        <v>0</v>
      </c>
      <c r="AF19" s="104">
        <f t="shared" si="15"/>
        <v>0</v>
      </c>
      <c r="AG19" s="104">
        <f t="shared" si="15"/>
        <v>0</v>
      </c>
      <c r="AH19" s="104">
        <f t="shared" si="15"/>
        <v>0</v>
      </c>
      <c r="AI19" s="104">
        <f t="shared" si="15"/>
        <v>0</v>
      </c>
      <c r="AJ19" s="104">
        <f t="shared" si="15"/>
        <v>0</v>
      </c>
      <c r="AK19" s="103">
        <f t="shared" si="27"/>
        <v>0</v>
      </c>
      <c r="AM19" s="104">
        <f t="shared" si="28"/>
        <v>0</v>
      </c>
      <c r="AN19" s="104">
        <f t="shared" si="16"/>
        <v>0</v>
      </c>
      <c r="AO19" s="104">
        <f t="shared" si="17"/>
        <v>0</v>
      </c>
      <c r="AP19" s="104">
        <f t="shared" si="18"/>
        <v>0</v>
      </c>
      <c r="AQ19" s="104">
        <f t="shared" si="19"/>
        <v>0</v>
      </c>
      <c r="AR19" s="104">
        <f t="shared" si="20"/>
        <v>0</v>
      </c>
      <c r="AS19" s="103">
        <f t="shared" si="29"/>
        <v>0</v>
      </c>
      <c r="AU19" s="170">
        <f t="shared" si="21"/>
        <v>0</v>
      </c>
      <c r="AV19" s="170">
        <f t="shared" si="22"/>
        <v>0</v>
      </c>
      <c r="AW19" s="170">
        <f t="shared" si="22"/>
        <v>0</v>
      </c>
      <c r="AX19" s="170">
        <f t="shared" si="22"/>
        <v>0</v>
      </c>
      <c r="AY19" s="170">
        <f t="shared" si="22"/>
        <v>0</v>
      </c>
      <c r="AZ19" s="170">
        <f t="shared" si="22"/>
        <v>0</v>
      </c>
      <c r="BA19" s="170"/>
    </row>
    <row r="20" spans="1:53" ht="31.5" x14ac:dyDescent="0.25">
      <c r="A20" s="95" t="str">
        <f>'User Input'!C39</f>
        <v>Generic maintenance filled at a retail pharmacy other than Walgreen's</v>
      </c>
      <c r="B20" s="78">
        <f>'User Input'!E39</f>
        <v>0</v>
      </c>
      <c r="C20" s="78">
        <f>'User Input'!F39</f>
        <v>0</v>
      </c>
      <c r="D20" s="78">
        <f>'User Input'!G39</f>
        <v>0</v>
      </c>
      <c r="E20" s="78">
        <f>'User Input'!H39</f>
        <v>0</v>
      </c>
      <c r="F20" s="78">
        <f>'User Input'!I39</f>
        <v>0</v>
      </c>
      <c r="G20" s="78">
        <f>'User Input'!J39</f>
        <v>0</v>
      </c>
      <c r="H20" s="78">
        <f t="shared" si="2"/>
        <v>0</v>
      </c>
      <c r="I20" s="160">
        <f>'User Input'!D39</f>
        <v>90</v>
      </c>
      <c r="J20" s="230">
        <f>+H20*I20*12</f>
        <v>0</v>
      </c>
      <c r="K20" s="230">
        <v>12</v>
      </c>
      <c r="L20" s="158">
        <v>7</v>
      </c>
      <c r="M20" s="158">
        <v>10</v>
      </c>
      <c r="N20" s="158">
        <v>9</v>
      </c>
      <c r="O20" s="104">
        <f t="shared" si="24"/>
        <v>0</v>
      </c>
      <c r="P20" s="104">
        <f t="shared" si="3"/>
        <v>0</v>
      </c>
      <c r="Q20" s="104">
        <f t="shared" si="4"/>
        <v>0</v>
      </c>
      <c r="R20" s="104">
        <f t="shared" si="5"/>
        <v>0</v>
      </c>
      <c r="S20" s="104">
        <f t="shared" si="6"/>
        <v>0</v>
      </c>
      <c r="T20" s="104">
        <f t="shared" si="7"/>
        <v>0</v>
      </c>
      <c r="U20" s="103">
        <f t="shared" si="8"/>
        <v>0</v>
      </c>
      <c r="V20" s="104"/>
      <c r="W20" s="104">
        <f t="shared" si="25"/>
        <v>0</v>
      </c>
      <c r="X20" s="104">
        <f t="shared" si="9"/>
        <v>0</v>
      </c>
      <c r="Y20" s="104">
        <f t="shared" si="10"/>
        <v>0</v>
      </c>
      <c r="Z20" s="104">
        <f t="shared" si="11"/>
        <v>0</v>
      </c>
      <c r="AA20" s="104">
        <f t="shared" si="12"/>
        <v>0</v>
      </c>
      <c r="AB20" s="104">
        <f t="shared" si="13"/>
        <v>0</v>
      </c>
      <c r="AC20" s="103">
        <f t="shared" si="14"/>
        <v>0</v>
      </c>
      <c r="AD20" s="104"/>
      <c r="AE20" s="104">
        <f t="shared" si="26"/>
        <v>0</v>
      </c>
      <c r="AF20" s="104">
        <f t="shared" si="15"/>
        <v>0</v>
      </c>
      <c r="AG20" s="104">
        <f t="shared" si="15"/>
        <v>0</v>
      </c>
      <c r="AH20" s="104">
        <f t="shared" si="15"/>
        <v>0</v>
      </c>
      <c r="AI20" s="104">
        <f t="shared" si="15"/>
        <v>0</v>
      </c>
      <c r="AJ20" s="104">
        <f t="shared" si="15"/>
        <v>0</v>
      </c>
      <c r="AK20" s="103">
        <f t="shared" si="27"/>
        <v>0</v>
      </c>
      <c r="AM20" s="104">
        <f t="shared" si="28"/>
        <v>0</v>
      </c>
      <c r="AN20" s="104">
        <f t="shared" si="16"/>
        <v>0</v>
      </c>
      <c r="AO20" s="104">
        <f t="shared" si="17"/>
        <v>0</v>
      </c>
      <c r="AP20" s="104">
        <f t="shared" si="18"/>
        <v>0</v>
      </c>
      <c r="AQ20" s="104">
        <f t="shared" si="19"/>
        <v>0</v>
      </c>
      <c r="AR20" s="104">
        <f t="shared" si="20"/>
        <v>0</v>
      </c>
      <c r="AS20" s="103">
        <f t="shared" si="29"/>
        <v>0</v>
      </c>
      <c r="AU20" s="170">
        <f t="shared" si="21"/>
        <v>0</v>
      </c>
      <c r="AV20" s="170">
        <f t="shared" si="22"/>
        <v>0</v>
      </c>
      <c r="AW20" s="170">
        <f t="shared" si="22"/>
        <v>0</v>
      </c>
      <c r="AX20" s="170">
        <f t="shared" si="22"/>
        <v>0</v>
      </c>
      <c r="AY20" s="170">
        <f t="shared" si="22"/>
        <v>0</v>
      </c>
      <c r="AZ20" s="170">
        <f t="shared" si="22"/>
        <v>0</v>
      </c>
      <c r="BA20" s="170"/>
    </row>
    <row r="21" spans="1:53" x14ac:dyDescent="0.25">
      <c r="A21" s="95" t="str">
        <f>'User Input'!C40</f>
        <v>Brand maintenance filled via Costco (mail order or retail)</v>
      </c>
      <c r="B21" s="78">
        <f>'User Input'!E40</f>
        <v>0</v>
      </c>
      <c r="C21" s="78">
        <f>'User Input'!F40</f>
        <v>0</v>
      </c>
      <c r="D21" s="78">
        <f>'User Input'!G40</f>
        <v>0</v>
      </c>
      <c r="E21" s="78">
        <f>'User Input'!H40</f>
        <v>0</v>
      </c>
      <c r="F21" s="78">
        <f>'User Input'!I40</f>
        <v>0</v>
      </c>
      <c r="G21" s="78">
        <f>'User Input'!J40</f>
        <v>0</v>
      </c>
      <c r="H21" s="78">
        <f t="shared" si="2"/>
        <v>0</v>
      </c>
      <c r="I21" s="160">
        <f>'User Input'!D40</f>
        <v>1000</v>
      </c>
      <c r="J21" s="230">
        <f>+H21*I21*4</f>
        <v>0</v>
      </c>
      <c r="K21" s="230">
        <v>4</v>
      </c>
      <c r="L21" s="158">
        <v>60</v>
      </c>
      <c r="M21" s="158">
        <v>90</v>
      </c>
      <c r="N21" s="158">
        <v>90</v>
      </c>
      <c r="O21" s="104">
        <f t="shared" si="24"/>
        <v>0</v>
      </c>
      <c r="P21" s="104">
        <f t="shared" si="3"/>
        <v>0</v>
      </c>
      <c r="Q21" s="104">
        <f t="shared" si="4"/>
        <v>0</v>
      </c>
      <c r="R21" s="104">
        <f t="shared" si="5"/>
        <v>0</v>
      </c>
      <c r="S21" s="104">
        <f t="shared" si="6"/>
        <v>0</v>
      </c>
      <c r="T21" s="104">
        <f t="shared" si="7"/>
        <v>0</v>
      </c>
      <c r="U21" s="103">
        <f t="shared" si="8"/>
        <v>0</v>
      </c>
      <c r="V21" s="104"/>
      <c r="W21" s="104">
        <f t="shared" si="25"/>
        <v>0</v>
      </c>
      <c r="X21" s="104">
        <f t="shared" si="9"/>
        <v>0</v>
      </c>
      <c r="Y21" s="104">
        <f t="shared" si="10"/>
        <v>0</v>
      </c>
      <c r="Z21" s="104">
        <f t="shared" si="11"/>
        <v>0</v>
      </c>
      <c r="AA21" s="104">
        <f t="shared" si="12"/>
        <v>0</v>
      </c>
      <c r="AB21" s="104">
        <f t="shared" si="13"/>
        <v>0</v>
      </c>
      <c r="AC21" s="103">
        <f t="shared" si="14"/>
        <v>0</v>
      </c>
      <c r="AD21" s="104"/>
      <c r="AE21" s="104">
        <f t="shared" si="26"/>
        <v>0</v>
      </c>
      <c r="AF21" s="104">
        <f t="shared" si="15"/>
        <v>0</v>
      </c>
      <c r="AG21" s="104">
        <f t="shared" si="15"/>
        <v>0</v>
      </c>
      <c r="AH21" s="104">
        <f t="shared" si="15"/>
        <v>0</v>
      </c>
      <c r="AI21" s="104">
        <f t="shared" si="15"/>
        <v>0</v>
      </c>
      <c r="AJ21" s="104">
        <f t="shared" si="15"/>
        <v>0</v>
      </c>
      <c r="AK21" s="103">
        <f t="shared" si="27"/>
        <v>0</v>
      </c>
      <c r="AM21" s="104">
        <f t="shared" si="28"/>
        <v>0</v>
      </c>
      <c r="AN21" s="104">
        <f t="shared" si="16"/>
        <v>0</v>
      </c>
      <c r="AO21" s="104">
        <f t="shared" si="17"/>
        <v>0</v>
      </c>
      <c r="AP21" s="104">
        <f t="shared" si="18"/>
        <v>0</v>
      </c>
      <c r="AQ21" s="104">
        <f t="shared" si="19"/>
        <v>0</v>
      </c>
      <c r="AR21" s="104">
        <f t="shared" si="20"/>
        <v>0</v>
      </c>
      <c r="AS21" s="103">
        <f t="shared" si="29"/>
        <v>0</v>
      </c>
      <c r="AU21" s="170">
        <f t="shared" si="21"/>
        <v>0</v>
      </c>
      <c r="AV21" s="170">
        <f t="shared" si="22"/>
        <v>0</v>
      </c>
      <c r="AW21" s="170">
        <f t="shared" si="22"/>
        <v>0</v>
      </c>
      <c r="AX21" s="170">
        <f t="shared" si="22"/>
        <v>0</v>
      </c>
      <c r="AY21" s="170">
        <f t="shared" si="22"/>
        <v>0</v>
      </c>
      <c r="AZ21" s="170">
        <f t="shared" si="22"/>
        <v>0</v>
      </c>
      <c r="BA21" s="170"/>
    </row>
    <row r="22" spans="1:53" ht="31.5" x14ac:dyDescent="0.25">
      <c r="A22" s="95" t="str">
        <f>'User Input'!C41</f>
        <v>Brand maintenance filled at a retail pharmacy other than Walgreen's</v>
      </c>
      <c r="B22" s="78">
        <f>'User Input'!E41</f>
        <v>0</v>
      </c>
      <c r="C22" s="78">
        <f>'User Input'!F41</f>
        <v>0</v>
      </c>
      <c r="D22" s="78">
        <f>'User Input'!G41</f>
        <v>0</v>
      </c>
      <c r="E22" s="78">
        <f>'User Input'!H41</f>
        <v>0</v>
      </c>
      <c r="F22" s="78">
        <f>'User Input'!I41</f>
        <v>0</v>
      </c>
      <c r="G22" s="78">
        <f>'User Input'!J41</f>
        <v>0</v>
      </c>
      <c r="H22" s="78">
        <f t="shared" si="2"/>
        <v>0</v>
      </c>
      <c r="I22" s="160">
        <f>'User Input'!D41</f>
        <v>1500</v>
      </c>
      <c r="J22" s="230">
        <f>+H22*I22*12</f>
        <v>0</v>
      </c>
      <c r="K22" s="230">
        <v>12</v>
      </c>
      <c r="L22" s="158">
        <v>25</v>
      </c>
      <c r="M22" s="158">
        <v>35</v>
      </c>
      <c r="N22" s="158">
        <v>35</v>
      </c>
      <c r="O22" s="104">
        <f t="shared" si="24"/>
        <v>0</v>
      </c>
      <c r="P22" s="104">
        <f t="shared" si="3"/>
        <v>0</v>
      </c>
      <c r="Q22" s="104">
        <f t="shared" si="4"/>
        <v>0</v>
      </c>
      <c r="R22" s="104">
        <f t="shared" si="5"/>
        <v>0</v>
      </c>
      <c r="S22" s="104">
        <f t="shared" si="6"/>
        <v>0</v>
      </c>
      <c r="T22" s="104">
        <f t="shared" si="7"/>
        <v>0</v>
      </c>
      <c r="U22" s="103">
        <f t="shared" si="8"/>
        <v>0</v>
      </c>
      <c r="V22" s="104"/>
      <c r="W22" s="104">
        <f t="shared" si="25"/>
        <v>0</v>
      </c>
      <c r="X22" s="104">
        <f t="shared" si="9"/>
        <v>0</v>
      </c>
      <c r="Y22" s="104">
        <f t="shared" si="10"/>
        <v>0</v>
      </c>
      <c r="Z22" s="104">
        <f t="shared" si="11"/>
        <v>0</v>
      </c>
      <c r="AA22" s="104">
        <f t="shared" si="12"/>
        <v>0</v>
      </c>
      <c r="AB22" s="104">
        <f t="shared" si="13"/>
        <v>0</v>
      </c>
      <c r="AC22" s="103">
        <f t="shared" si="14"/>
        <v>0</v>
      </c>
      <c r="AD22" s="104"/>
      <c r="AE22" s="104">
        <f t="shared" si="26"/>
        <v>0</v>
      </c>
      <c r="AF22" s="104">
        <f t="shared" si="15"/>
        <v>0</v>
      </c>
      <c r="AG22" s="104">
        <f t="shared" si="15"/>
        <v>0</v>
      </c>
      <c r="AH22" s="104">
        <f t="shared" si="15"/>
        <v>0</v>
      </c>
      <c r="AI22" s="104">
        <f t="shared" si="15"/>
        <v>0</v>
      </c>
      <c r="AJ22" s="104">
        <f t="shared" si="15"/>
        <v>0</v>
      </c>
      <c r="AK22" s="103">
        <f t="shared" si="27"/>
        <v>0</v>
      </c>
      <c r="AM22" s="104">
        <f t="shared" si="28"/>
        <v>0</v>
      </c>
      <c r="AN22" s="104">
        <f t="shared" si="16"/>
        <v>0</v>
      </c>
      <c r="AO22" s="104">
        <f t="shared" si="17"/>
        <v>0</v>
      </c>
      <c r="AP22" s="104">
        <f t="shared" si="18"/>
        <v>0</v>
      </c>
      <c r="AQ22" s="104">
        <f t="shared" si="19"/>
        <v>0</v>
      </c>
      <c r="AR22" s="104">
        <f t="shared" si="20"/>
        <v>0</v>
      </c>
      <c r="AS22" s="103">
        <f t="shared" si="29"/>
        <v>0</v>
      </c>
      <c r="AU22" s="103">
        <f>+AM22</f>
        <v>0</v>
      </c>
      <c r="AV22" s="103">
        <f t="shared" ref="AV22:AZ22" si="30">+AN22</f>
        <v>0</v>
      </c>
      <c r="AW22" s="103">
        <f t="shared" si="30"/>
        <v>0</v>
      </c>
      <c r="AX22" s="103">
        <f t="shared" si="30"/>
        <v>0</v>
      </c>
      <c r="AY22" s="103">
        <f t="shared" si="30"/>
        <v>0</v>
      </c>
      <c r="AZ22" s="103">
        <f t="shared" si="30"/>
        <v>0</v>
      </c>
      <c r="BA22" s="103"/>
    </row>
    <row r="23" spans="1:53" x14ac:dyDescent="0.25">
      <c r="A23" s="99" t="s">
        <v>112</v>
      </c>
      <c r="B23" s="78">
        <f t="shared" ref="B23:G23" si="31">SUM(B16:B22)</f>
        <v>0</v>
      </c>
      <c r="C23" s="78">
        <f t="shared" si="31"/>
        <v>0</v>
      </c>
      <c r="D23" s="78">
        <f t="shared" si="31"/>
        <v>0</v>
      </c>
      <c r="E23" s="78">
        <f t="shared" si="31"/>
        <v>0</v>
      </c>
      <c r="F23" s="78">
        <f t="shared" si="31"/>
        <v>0</v>
      </c>
      <c r="G23" s="78">
        <f t="shared" si="31"/>
        <v>0</v>
      </c>
      <c r="H23" s="78">
        <f t="shared" si="2"/>
        <v>0</v>
      </c>
      <c r="I23" s="161"/>
      <c r="J23" s="230">
        <f>SUM(J16:J22)</f>
        <v>0</v>
      </c>
      <c r="K23" s="245"/>
      <c r="L23" s="162"/>
      <c r="M23" s="162"/>
      <c r="N23" s="163"/>
      <c r="O23" s="103">
        <f t="shared" ref="O23:T23" si="32">SUM(O16:O22)</f>
        <v>0</v>
      </c>
      <c r="P23" s="103">
        <f t="shared" si="32"/>
        <v>0</v>
      </c>
      <c r="Q23" s="103">
        <f t="shared" si="32"/>
        <v>0</v>
      </c>
      <c r="R23" s="103">
        <f t="shared" si="32"/>
        <v>0</v>
      </c>
      <c r="S23" s="103">
        <f t="shared" si="32"/>
        <v>0</v>
      </c>
      <c r="T23" s="103">
        <f t="shared" si="32"/>
        <v>0</v>
      </c>
      <c r="U23" s="103">
        <f t="shared" si="8"/>
        <v>0</v>
      </c>
      <c r="V23" s="104"/>
      <c r="W23" s="103">
        <f t="shared" ref="W23:AB23" si="33">SUM(W16:W22)</f>
        <v>0</v>
      </c>
      <c r="X23" s="103">
        <f t="shared" si="33"/>
        <v>0</v>
      </c>
      <c r="Y23" s="103">
        <f t="shared" si="33"/>
        <v>0</v>
      </c>
      <c r="Z23" s="103">
        <f t="shared" si="33"/>
        <v>0</v>
      </c>
      <c r="AA23" s="103">
        <f t="shared" si="33"/>
        <v>0</v>
      </c>
      <c r="AB23" s="103">
        <f t="shared" si="33"/>
        <v>0</v>
      </c>
      <c r="AC23" s="103">
        <f t="shared" si="14"/>
        <v>0</v>
      </c>
      <c r="AD23" s="104"/>
      <c r="AE23" s="103">
        <f>SUM(AE16:AE22)</f>
        <v>0</v>
      </c>
      <c r="AF23" s="103">
        <f t="shared" ref="AF23:AK23" si="34">SUM(AF16:AF22)</f>
        <v>0</v>
      </c>
      <c r="AG23" s="103">
        <f t="shared" si="34"/>
        <v>0</v>
      </c>
      <c r="AH23" s="103">
        <f t="shared" si="34"/>
        <v>0</v>
      </c>
      <c r="AI23" s="103">
        <f t="shared" si="34"/>
        <v>0</v>
      </c>
      <c r="AJ23" s="103">
        <f t="shared" si="34"/>
        <v>0</v>
      </c>
      <c r="AK23" s="103">
        <f t="shared" si="34"/>
        <v>0</v>
      </c>
      <c r="AM23" s="103">
        <f t="shared" ref="AM23:AS23" si="35">SUM(AM16:AM22)</f>
        <v>0</v>
      </c>
      <c r="AN23" s="103">
        <f t="shared" si="35"/>
        <v>0</v>
      </c>
      <c r="AO23" s="103">
        <f t="shared" si="35"/>
        <v>0</v>
      </c>
      <c r="AP23" s="103">
        <f t="shared" si="35"/>
        <v>0</v>
      </c>
      <c r="AQ23" s="103">
        <f t="shared" si="35"/>
        <v>0</v>
      </c>
      <c r="AR23" s="103">
        <f t="shared" si="35"/>
        <v>0</v>
      </c>
      <c r="AS23" s="103">
        <f t="shared" si="35"/>
        <v>0</v>
      </c>
    </row>
    <row r="26" spans="1:53" ht="16.5" thickBot="1" x14ac:dyDescent="0.3"/>
    <row r="27" spans="1:53" ht="36" x14ac:dyDescent="0.4">
      <c r="A27" s="250" t="str">
        <f>CONCATENATE("Plan ",MasterMenu!E$1)</f>
        <v>Plan 1</v>
      </c>
      <c r="B27" s="405" t="str">
        <f>MasterMenu!E2</f>
        <v>90% G $20</v>
      </c>
      <c r="C27" s="406"/>
      <c r="D27" s="406"/>
      <c r="E27" s="406"/>
      <c r="F27" s="406"/>
      <c r="G27" s="406"/>
      <c r="H27" s="9" t="s">
        <v>14</v>
      </c>
      <c r="I27" s="10" t="s">
        <v>93</v>
      </c>
    </row>
    <row r="28" spans="1:53" x14ac:dyDescent="0.25">
      <c r="A28" s="140" t="s">
        <v>129</v>
      </c>
      <c r="B28" s="14"/>
      <c r="C28" s="15"/>
      <c r="D28" s="15"/>
      <c r="E28" s="15"/>
      <c r="F28" s="15"/>
      <c r="G28" s="15"/>
      <c r="H28" s="15"/>
      <c r="I28" s="16"/>
      <c r="M28" s="80"/>
    </row>
    <row r="29" spans="1:53" x14ac:dyDescent="0.25">
      <c r="A29" s="4" t="s">
        <v>8</v>
      </c>
      <c r="B29" s="11">
        <f>+MIN(SUMPRODUCT(B$7:B$10,$I$7:$I$10)-EREE*MasterMenu!$E$30,MasterMenu!$E$21)</f>
        <v>0</v>
      </c>
      <c r="C29" s="12">
        <f>+MIN(SUMPRODUCT(C$7:C$10,$I$7:$I$10)-ERSP*MasterMenu!$E$30,MasterMenu!$E$21)</f>
        <v>0</v>
      </c>
      <c r="D29" s="12">
        <f>+MIN(SUMPRODUCT(D$7:D$10,$I$7:$I$10)-_ERC1*MasterMenu!$E$30,MasterMenu!$E$21)</f>
        <v>0</v>
      </c>
      <c r="E29" s="12">
        <f>+MIN(SUMPRODUCT(E$7:E$10,$I$7:$I$10)-_ERC2*MasterMenu!$E$30,MasterMenu!$E$21)</f>
        <v>0</v>
      </c>
      <c r="F29" s="12">
        <f>+MIN(SUMPRODUCT(F$7:F$10,$I$7:$I$10)-_ERC3*MasterMenu!$E$30,MasterMenu!$E$21)</f>
        <v>0</v>
      </c>
      <c r="G29" s="12">
        <f>+MIN(SUMPRODUCT(G$7:G$10,$I$7:$I$10)-_ERC4*MasterMenu!$E$30,MasterMenu!$E$21)</f>
        <v>0</v>
      </c>
      <c r="H29" s="12">
        <f>SUM(B29:G29)</f>
        <v>0</v>
      </c>
      <c r="I29" s="13">
        <f>MIN(MasterMenu!E$22,H29)</f>
        <v>0</v>
      </c>
      <c r="M29" s="80"/>
    </row>
    <row r="30" spans="1:53" x14ac:dyDescent="0.25">
      <c r="A30" s="4" t="s">
        <v>9</v>
      </c>
      <c r="B30" s="11">
        <f>+HWCEE*MasterMenu!$E$26+EREE*MasterMenu!$E$30+TMEE*MasterMenu!$E$32+(_OVEE+MAX(B5-3,0))*MasterMenu!$E$27</f>
        <v>0</v>
      </c>
      <c r="C30" s="12">
        <f>+HWCSP*MasterMenu!$E$26+ERSP*MasterMenu!$E$30+TMSP*MasterMenu!$E$32+(_OVSP+MAX(C5-3,0))*MasterMenu!$E$27</f>
        <v>0</v>
      </c>
      <c r="D30" s="12">
        <f>+HWCC1*MasterMenu!$E$26+_ERC1*MasterMenu!$E$30+_TMC1*MasterMenu!$E$32+(_OVCH1+MAX(D5-3,0))*MasterMenu!$E$27</f>
        <v>0</v>
      </c>
      <c r="E30" s="12">
        <f>+HWCC2*MasterMenu!$E$26+_ERC2*MasterMenu!$E$30+_TMC2*MasterMenu!$E$32+(_OVCH2+MAX(E5-3,0))*MasterMenu!$E$27</f>
        <v>0</v>
      </c>
      <c r="F30" s="12">
        <f>+HWCC3*MasterMenu!$E$26+_ERC3*MasterMenu!$E$30+_TMC3*MasterMenu!$E$32+(_OVCH3+MAX(F5-3,0))*MasterMenu!$E$27</f>
        <v>0</v>
      </c>
      <c r="G30" s="12">
        <f>+HWCC4*MasterMenu!$E$26+_ERC4*MasterMenu!$E$30+_TMC4*MasterMenu!$E$32+(_OVCH4++MAX(G5-3,0))*MasterMenu!$E$27</f>
        <v>0</v>
      </c>
      <c r="H30" s="12">
        <f>SUM(B30:G30)</f>
        <v>0</v>
      </c>
      <c r="I30" s="407">
        <f>+MIN(H32,MasterMenu!E$24)</f>
        <v>0</v>
      </c>
      <c r="M30" s="80"/>
    </row>
    <row r="31" spans="1:53" x14ac:dyDescent="0.25">
      <c r="A31" s="4" t="s">
        <v>10</v>
      </c>
      <c r="B31" s="11">
        <f>+(SUMPRODUCT(B$7:B$10,$I$7:$I$10)-B29-EREE*MasterMenu!$E$30)*MasterMenu!$E$28</f>
        <v>0</v>
      </c>
      <c r="C31" s="12">
        <f>+(SUMPRODUCT(C$7:C$10,$I$7:$I$10)-C29-ERSP*MasterMenu!$E$30)*MasterMenu!$E$28</f>
        <v>0</v>
      </c>
      <c r="D31" s="12">
        <f>+(SUMPRODUCT(D$7:D$10,$I$7:$I$10)-D29-_ERC1*MasterMenu!$E$30)*MasterMenu!$E$28</f>
        <v>0</v>
      </c>
      <c r="E31" s="12">
        <f>+(SUMPRODUCT(E$7:E$10,$I$7:$I$10)-E29-_ERC2*MasterMenu!$E$30)*MasterMenu!$E$28</f>
        <v>0</v>
      </c>
      <c r="F31" s="12">
        <f>+(SUMPRODUCT(F$7:F$10,$I$7:$I$10)-F29-_ERC3*MasterMenu!$E$30)*MasterMenu!$E$28</f>
        <v>0</v>
      </c>
      <c r="G31" s="12">
        <f>+(SUMPRODUCT(G$7:G$10,$I$7:$I$10)-G29-_ERC4*MasterMenu!$E$30)*MasterMenu!$E$28</f>
        <v>0</v>
      </c>
      <c r="H31" s="12">
        <f>SUM(B31:G31)</f>
        <v>0</v>
      </c>
      <c r="I31" s="407"/>
      <c r="M31" s="80"/>
    </row>
    <row r="32" spans="1:53" x14ac:dyDescent="0.25">
      <c r="A32" s="6" t="s">
        <v>12</v>
      </c>
      <c r="B32" s="17">
        <f>+MIN((+B31+B30),MasterMenu!$E$23)</f>
        <v>0</v>
      </c>
      <c r="C32" s="18">
        <f>+MIN((+C31+C30),MasterMenu!$E$23)</f>
        <v>0</v>
      </c>
      <c r="D32" s="18">
        <f>+MIN((+D31+D30),MasterMenu!$E$23)</f>
        <v>0</v>
      </c>
      <c r="E32" s="18">
        <f>+MIN((+E31+E30),MasterMenu!$E$23)</f>
        <v>0</v>
      </c>
      <c r="F32" s="18">
        <f>+MIN((+F31+F30),MasterMenu!$E$23)</f>
        <v>0</v>
      </c>
      <c r="G32" s="18">
        <f>+MIN((+G31+G30),MasterMenu!$E$23)</f>
        <v>0</v>
      </c>
      <c r="H32" s="12">
        <f>SUM(B32:G32)</f>
        <v>0</v>
      </c>
      <c r="I32" s="407"/>
    </row>
    <row r="33" spans="1:13" ht="16.5" thickBot="1" x14ac:dyDescent="0.3">
      <c r="A33" s="6" t="s">
        <v>13</v>
      </c>
      <c r="B33" s="17">
        <f>+MIN((B32+B29),MasterMenu!$E$19)</f>
        <v>0</v>
      </c>
      <c r="C33" s="18">
        <f>+MIN((C32+C29),MasterMenu!$E$19)</f>
        <v>0</v>
      </c>
      <c r="D33" s="18">
        <f>+MIN((D32+D29),MasterMenu!$E$19)</f>
        <v>0</v>
      </c>
      <c r="E33" s="18">
        <f>+MIN((E32+E29),MasterMenu!$E$19)</f>
        <v>0</v>
      </c>
      <c r="F33" s="18">
        <f>+MIN((F32+F29),MasterMenu!$E$19)</f>
        <v>0</v>
      </c>
      <c r="G33" s="18">
        <f>+MIN((G32+G29),MasterMenu!$E$19)</f>
        <v>0</v>
      </c>
      <c r="H33" s="12">
        <f>SUM(B33:G33)</f>
        <v>0</v>
      </c>
      <c r="I33" s="13">
        <f>+MIN((I29+I30),MasterMenu!E$20,Totalmedcosts)</f>
        <v>0</v>
      </c>
      <c r="J33" s="231">
        <f>MasterMenu!E$20</f>
        <v>3000</v>
      </c>
      <c r="L33" t="str">
        <f>+IF(I33&gt;J33,"Error","ok")</f>
        <v>ok</v>
      </c>
    </row>
    <row r="34" spans="1:13" x14ac:dyDescent="0.25">
      <c r="A34" s="140" t="s">
        <v>130</v>
      </c>
      <c r="B34" s="408"/>
      <c r="C34" s="409"/>
      <c r="D34" s="409"/>
      <c r="E34" s="409"/>
      <c r="F34" s="409"/>
      <c r="G34" s="409"/>
      <c r="H34" s="409"/>
      <c r="I34" s="410"/>
    </row>
    <row r="35" spans="1:13" x14ac:dyDescent="0.25">
      <c r="A35" s="4" t="s">
        <v>8</v>
      </c>
      <c r="B35" s="11">
        <f>+MIN(MasterMenu!$F$36,(AM$18+AM$21+AM$22))</f>
        <v>0</v>
      </c>
      <c r="C35" s="12">
        <f>+MIN(MasterMenu!$F$36,(AN$18+AN$21+AN$22))</f>
        <v>0</v>
      </c>
      <c r="D35" s="12">
        <f>+MIN(MasterMenu!$F$36,(AO$18+AO$21+AO$22))</f>
        <v>0</v>
      </c>
      <c r="E35" s="12">
        <f>+MIN(MasterMenu!$F$36,(AP$18+AP$21+AP$22))</f>
        <v>0</v>
      </c>
      <c r="F35" s="12">
        <f>+MIN(MasterMenu!$F$36,(AQ$18+AQ$21+AQ$22))</f>
        <v>0</v>
      </c>
      <c r="G35" s="12">
        <f>+MIN(MasterMenu!$F$36,(AR$18+AR$21+AR$22))</f>
        <v>0</v>
      </c>
      <c r="H35" s="12">
        <f>SUM(B35:G35)</f>
        <v>0</v>
      </c>
      <c r="I35" s="407">
        <f>+MIN(MasterMenu!$E$35,TotalRXCost,H37)</f>
        <v>0</v>
      </c>
    </row>
    <row r="36" spans="1:13" x14ac:dyDescent="0.25">
      <c r="A36" s="4" t="s">
        <v>9</v>
      </c>
      <c r="B36" s="11">
        <f>O$23</f>
        <v>0</v>
      </c>
      <c r="C36" s="12">
        <f t="shared" ref="C36:G36" si="36">P$23</f>
        <v>0</v>
      </c>
      <c r="D36" s="12">
        <f t="shared" si="36"/>
        <v>0</v>
      </c>
      <c r="E36" s="12">
        <f t="shared" si="36"/>
        <v>0</v>
      </c>
      <c r="F36" s="12">
        <f t="shared" si="36"/>
        <v>0</v>
      </c>
      <c r="G36" s="12">
        <f t="shared" si="36"/>
        <v>0</v>
      </c>
      <c r="H36" s="12">
        <f>SUM(B36:G36)</f>
        <v>0</v>
      </c>
      <c r="I36" s="407"/>
    </row>
    <row r="37" spans="1:13" ht="16.5" thickBot="1" x14ac:dyDescent="0.3">
      <c r="A37" s="6" t="s">
        <v>13</v>
      </c>
      <c r="B37" s="11">
        <f>+MIN(MasterMenu!$E$34,B36)</f>
        <v>0</v>
      </c>
      <c r="C37" s="12">
        <f>+MIN(MasterMenu!$E$34,C36)</f>
        <v>0</v>
      </c>
      <c r="D37" s="12">
        <f>+MIN(MasterMenu!$E$34,D36)</f>
        <v>0</v>
      </c>
      <c r="E37" s="12">
        <f>+MIN(MasterMenu!$E$34,E36)</f>
        <v>0</v>
      </c>
      <c r="F37" s="12">
        <f>+MIN(MasterMenu!$E$34,F36)</f>
        <v>0</v>
      </c>
      <c r="G37" s="12">
        <f>+MIN(MasterMenu!$E$34,G36)</f>
        <v>0</v>
      </c>
      <c r="H37" s="12">
        <f>SUM(B37:G37)</f>
        <v>0</v>
      </c>
      <c r="I37" s="407"/>
      <c r="J37" s="231">
        <f>+MasterMenu!E$35</f>
        <v>3500</v>
      </c>
      <c r="L37" t="str">
        <f>+IF(I37&gt;J37,"Error","ok")</f>
        <v>ok</v>
      </c>
    </row>
    <row r="38" spans="1:13" x14ac:dyDescent="0.25">
      <c r="A38" s="140"/>
      <c r="B38" s="145"/>
      <c r="C38" s="139"/>
      <c r="D38" s="139"/>
      <c r="E38" s="139"/>
      <c r="F38" s="139"/>
      <c r="G38" s="142"/>
      <c r="H38" s="143" t="s">
        <v>131</v>
      </c>
      <c r="I38" s="144">
        <f>+Totalmedcosts+TotalRXCost</f>
        <v>0</v>
      </c>
    </row>
    <row r="39" spans="1:13" x14ac:dyDescent="0.25">
      <c r="A39" s="140"/>
      <c r="B39" s="145"/>
      <c r="C39" s="139"/>
      <c r="D39" s="139"/>
      <c r="E39" s="139"/>
      <c r="F39" s="139"/>
      <c r="G39" s="145"/>
      <c r="H39" s="141" t="s">
        <v>132</v>
      </c>
      <c r="I39" s="13">
        <f>+I35+I33</f>
        <v>0</v>
      </c>
      <c r="J39" s="231" t="str">
        <f>+IF(I39&gt;J33+J37,"ERROR","ok")</f>
        <v>ok</v>
      </c>
    </row>
    <row r="40" spans="1:13" ht="16.5" thickBot="1" x14ac:dyDescent="0.3">
      <c r="A40" s="140"/>
      <c r="B40" s="146"/>
      <c r="C40" s="148"/>
      <c r="D40" s="148"/>
      <c r="E40" s="148"/>
      <c r="F40" s="148"/>
      <c r="G40" s="146"/>
      <c r="H40" s="147" t="s">
        <v>133</v>
      </c>
      <c r="I40" s="19">
        <f>+I38-I39</f>
        <v>0</v>
      </c>
    </row>
    <row r="41" spans="1:13" x14ac:dyDescent="0.25">
      <c r="A41" s="140"/>
      <c r="B41" s="94"/>
      <c r="C41" s="94"/>
      <c r="D41" s="94"/>
      <c r="E41" s="94"/>
      <c r="F41" s="94"/>
      <c r="G41" s="94"/>
      <c r="H41" s="265"/>
      <c r="I41" s="94"/>
      <c r="J41" s="104"/>
      <c r="K41" s="104"/>
    </row>
    <row r="42" spans="1:13" ht="16.5" thickBot="1" x14ac:dyDescent="0.3">
      <c r="B42" s="5"/>
      <c r="C42" s="5"/>
      <c r="D42" s="5"/>
      <c r="E42" s="5"/>
      <c r="F42" s="5"/>
      <c r="G42" s="5"/>
      <c r="J42" s="5"/>
      <c r="K42" s="5"/>
      <c r="L42" s="5"/>
    </row>
    <row r="43" spans="1:13" ht="36" x14ac:dyDescent="0.4">
      <c r="A43" s="250" t="str">
        <f>CONCATENATE("Plan ",MasterMenu!F$1)</f>
        <v>Plan 2</v>
      </c>
      <c r="B43" s="405" t="str">
        <f>MasterMenu!F2</f>
        <v>80% G $30</v>
      </c>
      <c r="C43" s="406"/>
      <c r="D43" s="406"/>
      <c r="E43" s="406"/>
      <c r="F43" s="406"/>
      <c r="G43" s="406"/>
      <c r="H43" s="9" t="s">
        <v>14</v>
      </c>
      <c r="I43" s="10" t="s">
        <v>93</v>
      </c>
    </row>
    <row r="44" spans="1:13" x14ac:dyDescent="0.25">
      <c r="A44" s="140" t="s">
        <v>129</v>
      </c>
      <c r="B44" s="14"/>
      <c r="C44" s="15"/>
      <c r="D44" s="15"/>
      <c r="E44" s="15"/>
      <c r="F44" s="15"/>
      <c r="G44" s="15"/>
      <c r="H44" s="15"/>
      <c r="I44" s="16"/>
      <c r="M44" s="80"/>
    </row>
    <row r="45" spans="1:13" x14ac:dyDescent="0.25">
      <c r="A45" s="4" t="s">
        <v>8</v>
      </c>
      <c r="B45" s="11">
        <f>+MIN(SUMPRODUCT(B$7:B$10,$I$7:$I$10)-EREE*MasterMenu!$F$30,MasterMenu!$F$21)</f>
        <v>0</v>
      </c>
      <c r="C45" s="12">
        <f>+MIN(SUMPRODUCT(C$7:C$10,$I$7:$I$10)-ERSP*MasterMenu!$F$30,MasterMenu!$F$21)</f>
        <v>0</v>
      </c>
      <c r="D45" s="12">
        <f>+MIN(SUMPRODUCT(D$7:D$10,$I$7:$I$10)-_ERC1*MasterMenu!$F$30,MasterMenu!$F$21)</f>
        <v>0</v>
      </c>
      <c r="E45" s="12">
        <f>+MIN(SUMPRODUCT(E$7:E$10,$I$7:$I$10)-_ERC2*MasterMenu!$F$30,MasterMenu!$F$21)</f>
        <v>0</v>
      </c>
      <c r="F45" s="12">
        <f>+MIN(SUMPRODUCT(F$7:F$10,$I$7:$I$10)-_ERC3*MasterMenu!$F$30,MasterMenu!$F$21)</f>
        <v>0</v>
      </c>
      <c r="G45" s="12">
        <f>+MIN(SUMPRODUCT(G$7:G$10,$I$7:$I$10)-_ERC4*MasterMenu!$F$30,MasterMenu!$F$21)</f>
        <v>0</v>
      </c>
      <c r="H45" s="12">
        <f>SUM(B45:G45)</f>
        <v>0</v>
      </c>
      <c r="I45" s="13">
        <f>MIN(MasterMenu!F$22,H45)</f>
        <v>0</v>
      </c>
      <c r="M45" s="80"/>
    </row>
    <row r="46" spans="1:13" x14ac:dyDescent="0.25">
      <c r="A46" s="4" t="s">
        <v>9</v>
      </c>
      <c r="B46" s="11">
        <f>+HWCEE*MasterMenu!$F$26+EREE*MasterMenu!$F$30+TMEE*MasterMenu!$F$32+(_OVEE+MAX(B5-3,0))*MasterMenu!$F$27</f>
        <v>0</v>
      </c>
      <c r="C46" s="12">
        <f>+HWCSP*MasterMenu!$F$26+ERSP*MasterMenu!$F$30+TMSP*MasterMenu!$F$32+(_OVSP+MAX(C5-3,0))*MasterMenu!$F$27</f>
        <v>0</v>
      </c>
      <c r="D46" s="12">
        <f>+HWCC1*MasterMenu!$F$26+_ERC1*MasterMenu!$F$30+_TMC1*MasterMenu!$F$32+(_OVCH1+MAX(D5-3,0))*MasterMenu!$F$27</f>
        <v>0</v>
      </c>
      <c r="E46" s="12">
        <f>+HWCC2*MasterMenu!$F$26+_ERC2*MasterMenu!$F$30+_TMC2*MasterMenu!$F$32+(_OVCH2+MAX(E5-3,0))*MasterMenu!$F$27</f>
        <v>0</v>
      </c>
      <c r="F46" s="12">
        <f>+HWCC3*MasterMenu!$F$26+_ERC3*MasterMenu!$F$30+_TMC3*MasterMenu!$F$32+(_OVCH3+MAX(F5-3,0))*MasterMenu!$F$27</f>
        <v>0</v>
      </c>
      <c r="G46" s="12">
        <f>+HWCC4*MasterMenu!$F$26+_ERC4*MasterMenu!$F$30+_TMC4*MasterMenu!$F$32+(_OVCH4+MAX(G5-3,0))*MasterMenu!$F$27</f>
        <v>0</v>
      </c>
      <c r="H46" s="12">
        <f>SUM(B46:G46)</f>
        <v>0</v>
      </c>
      <c r="I46" s="407">
        <f>+MIN(H48,MasterMenu!F$24)</f>
        <v>0</v>
      </c>
      <c r="M46" s="80"/>
    </row>
    <row r="47" spans="1:13" x14ac:dyDescent="0.25">
      <c r="A47" s="4" t="s">
        <v>10</v>
      </c>
      <c r="B47" s="11">
        <f>+(SUMPRODUCT(B$7:B$10,$I$7:$I$10)-B45-EREE*MasterMenu!$F$30)*MasterMenu!$F$28</f>
        <v>0</v>
      </c>
      <c r="C47" s="12">
        <f>+(SUMPRODUCT(C$7:C$10,$I$7:$I$10)-C45-ERSP*MasterMenu!$F$30)*MasterMenu!$F$28</f>
        <v>0</v>
      </c>
      <c r="D47" s="12">
        <f>+(SUMPRODUCT(D$7:D$10,$I$7:$I$10)-D45-_ERC1*MasterMenu!$F$30)*MasterMenu!$F$28</f>
        <v>0</v>
      </c>
      <c r="E47" s="12">
        <f>+(SUMPRODUCT(E$7:E$10,$I$7:$I$10)-E45-_ERC2*MasterMenu!$F$30)*MasterMenu!$F$28</f>
        <v>0</v>
      </c>
      <c r="F47" s="12">
        <f>+(SUMPRODUCT(F$7:F$10,$I$7:$I$10)-F45-_ERC3*MasterMenu!$F$30)*MasterMenu!$F$28</f>
        <v>0</v>
      </c>
      <c r="G47" s="12">
        <f>+(SUMPRODUCT(G$7:G$10,$I$7:$I$10)-G45-_ERC4*MasterMenu!$F$30)*MasterMenu!$F$28</f>
        <v>0</v>
      </c>
      <c r="H47" s="12">
        <f>SUM(B47:G47)</f>
        <v>0</v>
      </c>
      <c r="I47" s="407"/>
      <c r="M47" s="80"/>
    </row>
    <row r="48" spans="1:13" x14ac:dyDescent="0.25">
      <c r="A48" s="6" t="s">
        <v>12</v>
      </c>
      <c r="B48" s="17">
        <f>+MIN((+B47+B46),MasterMenu!$F$23)</f>
        <v>0</v>
      </c>
      <c r="C48" s="18">
        <f>+MIN((+C47+C46),MasterMenu!$F$23)</f>
        <v>0</v>
      </c>
      <c r="D48" s="18">
        <f>+MIN((+D47+D46),MasterMenu!$F$23)</f>
        <v>0</v>
      </c>
      <c r="E48" s="18">
        <f>+MIN((+E47+E46),MasterMenu!$F$23)</f>
        <v>0</v>
      </c>
      <c r="F48" s="18">
        <f>+MIN((+F47+F46),MasterMenu!$F$23)</f>
        <v>0</v>
      </c>
      <c r="G48" s="18">
        <f>+MIN((+G47+G46),MasterMenu!$F$23)</f>
        <v>0</v>
      </c>
      <c r="H48" s="12">
        <f>SUM(B48:G48)</f>
        <v>0</v>
      </c>
      <c r="I48" s="407"/>
    </row>
    <row r="49" spans="1:13" ht="16.5" thickBot="1" x14ac:dyDescent="0.3">
      <c r="A49" s="6" t="s">
        <v>13</v>
      </c>
      <c r="B49" s="17">
        <f>+MIN((B48+B45),MasterMenu!$F$19)</f>
        <v>0</v>
      </c>
      <c r="C49" s="18">
        <f>+MIN((C48+C45),MasterMenu!$F$19)</f>
        <v>0</v>
      </c>
      <c r="D49" s="18">
        <f>+MIN((D48+D45),MasterMenu!$F$19)</f>
        <v>0</v>
      </c>
      <c r="E49" s="18">
        <f>+MIN((E48+E45),MasterMenu!$F$19)</f>
        <v>0</v>
      </c>
      <c r="F49" s="18">
        <f>+MIN((F48+F45),MasterMenu!$F$19)</f>
        <v>0</v>
      </c>
      <c r="G49" s="18">
        <f>+MIN((G48+G45),MasterMenu!$F$19)</f>
        <v>0</v>
      </c>
      <c r="H49" s="12">
        <f>SUM(B49:G49)</f>
        <v>0</v>
      </c>
      <c r="I49" s="13">
        <f>+MIN((I45+I46),MasterMenu!F$20,Totalmedcosts)</f>
        <v>0</v>
      </c>
      <c r="J49" s="231">
        <f>MasterMenu!F$20</f>
        <v>4000</v>
      </c>
      <c r="L49" t="str">
        <f>+IF(I49&gt;J49,"Error","ok")</f>
        <v>ok</v>
      </c>
    </row>
    <row r="50" spans="1:13" x14ac:dyDescent="0.25">
      <c r="A50" s="140" t="s">
        <v>130</v>
      </c>
      <c r="B50" s="408"/>
      <c r="C50" s="409"/>
      <c r="D50" s="409"/>
      <c r="E50" s="409"/>
      <c r="F50" s="409"/>
      <c r="G50" s="409"/>
      <c r="H50" s="409"/>
      <c r="I50" s="410"/>
    </row>
    <row r="51" spans="1:13" x14ac:dyDescent="0.25">
      <c r="A51" s="4" t="s">
        <v>8</v>
      </c>
      <c r="B51" s="11">
        <f>+MIN(MasterMenu!$F$36,(AM$18+AM$21+AM$22))</f>
        <v>0</v>
      </c>
      <c r="C51" s="12">
        <f>+MIN(MasterMenu!$F$36,(AN$18+AN$21+AN$22))</f>
        <v>0</v>
      </c>
      <c r="D51" s="12">
        <f>+MIN(MasterMenu!$F$36,(AO$18+AO$21+AO$22))</f>
        <v>0</v>
      </c>
      <c r="E51" s="12">
        <f>+MIN(MasterMenu!$F$36,(AP$18+AP$21+AP$22))</f>
        <v>0</v>
      </c>
      <c r="F51" s="12">
        <f>+MIN(MasterMenu!$F$36,(AQ$18+AQ$21+AQ$22))</f>
        <v>0</v>
      </c>
      <c r="G51" s="12">
        <f>+MIN(MasterMenu!$F$36,(AR$18+AR$21+AR$22))</f>
        <v>0</v>
      </c>
      <c r="H51" s="12">
        <f>SUM(B51:G51)</f>
        <v>0</v>
      </c>
      <c r="I51" s="407">
        <f>+MIN(MasterMenu!$F$35,TotalRXCost,H53)</f>
        <v>0</v>
      </c>
    </row>
    <row r="52" spans="1:13" x14ac:dyDescent="0.25">
      <c r="A52" s="4" t="s">
        <v>9</v>
      </c>
      <c r="B52" s="11">
        <f>O$23</f>
        <v>0</v>
      </c>
      <c r="C52" s="12">
        <f t="shared" ref="C52:G52" si="37">P$23</f>
        <v>0</v>
      </c>
      <c r="D52" s="12">
        <f t="shared" si="37"/>
        <v>0</v>
      </c>
      <c r="E52" s="12">
        <f t="shared" si="37"/>
        <v>0</v>
      </c>
      <c r="F52" s="12">
        <f t="shared" si="37"/>
        <v>0</v>
      </c>
      <c r="G52" s="12">
        <f t="shared" si="37"/>
        <v>0</v>
      </c>
      <c r="H52" s="12">
        <f>SUM(B52:G52)</f>
        <v>0</v>
      </c>
      <c r="I52" s="407"/>
    </row>
    <row r="53" spans="1:13" ht="16.5" thickBot="1" x14ac:dyDescent="0.3">
      <c r="A53" s="6" t="s">
        <v>13</v>
      </c>
      <c r="B53" s="11">
        <f>+MIN(MasterMenu!$F$34,B52)</f>
        <v>0</v>
      </c>
      <c r="C53" s="12">
        <f>+MIN(MasterMenu!$F$34,C52)</f>
        <v>0</v>
      </c>
      <c r="D53" s="12">
        <f>+MIN(MasterMenu!$F$34,D52)</f>
        <v>0</v>
      </c>
      <c r="E53" s="12">
        <f>+MIN(MasterMenu!$F$34,E52)</f>
        <v>0</v>
      </c>
      <c r="F53" s="12">
        <f>+MIN(MasterMenu!$F$34,F52)</f>
        <v>0</v>
      </c>
      <c r="G53" s="12">
        <f>+MIN(MasterMenu!$F$34,G52)</f>
        <v>0</v>
      </c>
      <c r="H53" s="12">
        <f>SUM(B53:G53)</f>
        <v>0</v>
      </c>
      <c r="I53" s="407"/>
      <c r="J53" s="231">
        <f>+MasterMenu!F$35</f>
        <v>3500</v>
      </c>
      <c r="L53" t="str">
        <f>+IF(I53&gt;J53,"Error","ok")</f>
        <v>ok</v>
      </c>
    </row>
    <row r="54" spans="1:13" x14ac:dyDescent="0.25">
      <c r="A54" s="140"/>
      <c r="B54" s="145"/>
      <c r="C54" s="139"/>
      <c r="D54" s="139"/>
      <c r="E54" s="139"/>
      <c r="F54" s="139"/>
      <c r="G54" s="142"/>
      <c r="H54" s="143" t="s">
        <v>131</v>
      </c>
      <c r="I54" s="144">
        <f>+Totalmedcosts+TotalRXCost</f>
        <v>0</v>
      </c>
    </row>
    <row r="55" spans="1:13" x14ac:dyDescent="0.25">
      <c r="A55" s="140"/>
      <c r="B55" s="145"/>
      <c r="C55" s="139"/>
      <c r="D55" s="139"/>
      <c r="E55" s="139"/>
      <c r="F55" s="139"/>
      <c r="G55" s="145"/>
      <c r="H55" s="141" t="s">
        <v>132</v>
      </c>
      <c r="I55" s="13">
        <f>+I51+I49</f>
        <v>0</v>
      </c>
      <c r="J55" s="231" t="str">
        <f>+IF(I55&gt;J49+J53,"ERROR","ok")</f>
        <v>ok</v>
      </c>
    </row>
    <row r="56" spans="1:13" ht="16.5" thickBot="1" x14ac:dyDescent="0.3">
      <c r="A56" s="140"/>
      <c r="B56" s="146"/>
      <c r="C56" s="148"/>
      <c r="D56" s="148"/>
      <c r="E56" s="148"/>
      <c r="F56" s="148"/>
      <c r="G56" s="146"/>
      <c r="H56" s="147" t="s">
        <v>133</v>
      </c>
      <c r="I56" s="19">
        <f>+I54-I55</f>
        <v>0</v>
      </c>
    </row>
    <row r="57" spans="1:13" s="263" customFormat="1" x14ac:dyDescent="0.25">
      <c r="A57" s="259"/>
      <c r="B57" s="260"/>
      <c r="C57" s="260"/>
      <c r="D57" s="260"/>
      <c r="E57" s="260"/>
      <c r="F57" s="260"/>
      <c r="G57" s="260"/>
      <c r="H57" s="261"/>
      <c r="I57" s="260"/>
      <c r="J57" s="262"/>
      <c r="K57" s="262"/>
    </row>
    <row r="58" spans="1:13" ht="16.5" thickBot="1" x14ac:dyDescent="0.3">
      <c r="A58" s="140"/>
      <c r="B58" s="94"/>
      <c r="C58" s="94"/>
      <c r="D58" s="94"/>
      <c r="E58" s="94"/>
      <c r="F58" s="94"/>
      <c r="G58" s="94"/>
      <c r="J58" s="104"/>
      <c r="K58" s="104"/>
    </row>
    <row r="59" spans="1:13" ht="36" x14ac:dyDescent="0.4">
      <c r="A59" s="250" t="str">
        <f>CONCATENATE("Plan ",MasterMenu!G$1)</f>
        <v>Plan 3</v>
      </c>
      <c r="B59" s="405" t="str">
        <f>+MasterMenu!G2</f>
        <v>80% J $30</v>
      </c>
      <c r="C59" s="406"/>
      <c r="D59" s="406"/>
      <c r="E59" s="406"/>
      <c r="F59" s="406"/>
      <c r="G59" s="406"/>
      <c r="H59" s="9" t="s">
        <v>14</v>
      </c>
      <c r="I59" s="10" t="s">
        <v>93</v>
      </c>
    </row>
    <row r="60" spans="1:13" x14ac:dyDescent="0.25">
      <c r="A60" s="140" t="s">
        <v>129</v>
      </c>
      <c r="B60" s="14"/>
      <c r="C60" s="15"/>
      <c r="D60" s="15"/>
      <c r="E60" s="15"/>
      <c r="F60" s="15"/>
      <c r="G60" s="15"/>
      <c r="H60" s="15"/>
      <c r="I60" s="16"/>
      <c r="M60" s="80"/>
    </row>
    <row r="61" spans="1:13" x14ac:dyDescent="0.25">
      <c r="A61" s="4" t="s">
        <v>8</v>
      </c>
      <c r="B61" s="11">
        <f>+MIN(SUMPRODUCT(B$7:B$10,$I$7:$I$10)-EREE*MasterMenu!$G$30,MasterMenu!$G$21)</f>
        <v>0</v>
      </c>
      <c r="C61" s="12">
        <f>+MIN(SUMPRODUCT(C$7:C$10,$I$7:$I$10)-ERSP*MasterMenu!$G$30,MasterMenu!$G$21)</f>
        <v>0</v>
      </c>
      <c r="D61" s="12">
        <f>+MIN(SUMPRODUCT(D$7:D$10,$I$7:$I$10)-_ERC1*MasterMenu!$G$30,MasterMenu!$G$21)</f>
        <v>0</v>
      </c>
      <c r="E61" s="12">
        <f>+MIN(SUMPRODUCT(E$7:E$10,$I$7:$I$10)-_ERC2*MasterMenu!$G$30,MasterMenu!$G$21)</f>
        <v>0</v>
      </c>
      <c r="F61" s="12">
        <f>+MIN(SUMPRODUCT(F$7:F$10,$I$7:$I$10)-_ERC3*MasterMenu!$G$30,MasterMenu!$G$21)</f>
        <v>0</v>
      </c>
      <c r="G61" s="12">
        <f>+MIN(SUMPRODUCT(G$7:G$10,$I$7:$I$10)-_ERC4*MasterMenu!$G$30,MasterMenu!$G$21)</f>
        <v>0</v>
      </c>
      <c r="H61" s="12">
        <f>SUM(B61:G61)</f>
        <v>0</v>
      </c>
      <c r="I61" s="13">
        <f>MIN(MasterMenu!G$22,H61)</f>
        <v>0</v>
      </c>
      <c r="M61" s="80"/>
    </row>
    <row r="62" spans="1:13" x14ac:dyDescent="0.25">
      <c r="A62" s="4" t="s">
        <v>9</v>
      </c>
      <c r="B62" s="11">
        <f>+HWCEE*MasterMenu!$G$26+EREE*MasterMenu!$G$30+TMEE*MasterMenu!$G$32+(_OVEE+MAX(B5-3,0))*MasterMenu!$G$27</f>
        <v>0</v>
      </c>
      <c r="C62" s="12">
        <f>+HWCSP*MasterMenu!$G$26+ERSP*MasterMenu!$G$30+TMSP*MasterMenu!$G$32+(_OVSP+MAX(C5-3,0))*MasterMenu!$G$27</f>
        <v>0</v>
      </c>
      <c r="D62" s="12">
        <f>+HWCC1*MasterMenu!$G$26+_ERC1*MasterMenu!$G$30+_TMC1*MasterMenu!$G$32+(_OVCH1+MAX(D5-3,0))*MasterMenu!$G$27</f>
        <v>0</v>
      </c>
      <c r="E62" s="12">
        <f>+HWCC2*MasterMenu!$G$26+_ERC2*MasterMenu!$G$30+_TMC2*MasterMenu!$G$32+(_OVCH2+MAX(E5-3,0))*MasterMenu!$G$27</f>
        <v>0</v>
      </c>
      <c r="F62" s="12">
        <f>+HWCC3*MasterMenu!$G$26+_ERC3*MasterMenu!$G$30+_TMC3*MasterMenu!$G$32+(_OVCH3+MAX(F5-3,0))*MasterMenu!$G$27</f>
        <v>0</v>
      </c>
      <c r="G62" s="12">
        <f>+HWCC4*MasterMenu!$G$26+_ERC4*MasterMenu!$G$30+_TMC4*MasterMenu!$G$32+(_OVCH4+MAX(G5-3,0))*MasterMenu!$G$27</f>
        <v>0</v>
      </c>
      <c r="H62" s="12">
        <f>SUM(B62:G62)</f>
        <v>0</v>
      </c>
      <c r="I62" s="407">
        <f>+MIN(H64,MasterMenu!G$24)</f>
        <v>0</v>
      </c>
      <c r="M62" s="80"/>
    </row>
    <row r="63" spans="1:13" x14ac:dyDescent="0.25">
      <c r="A63" s="4" t="s">
        <v>10</v>
      </c>
      <c r="B63" s="11">
        <f>+(SUMPRODUCT(B$7:B$10,$I$7:$I$10)-B61-EREE*MasterMenu!$G$30)*MasterMenu!$G$28</f>
        <v>0</v>
      </c>
      <c r="C63" s="12">
        <f>+(SUMPRODUCT(C$7:C$10,$I$7:$I$10)-C61-ERSP*MasterMenu!$G$30)*MasterMenu!$G$28</f>
        <v>0</v>
      </c>
      <c r="D63" s="12">
        <f>+(SUMPRODUCT(D$7:D$10,$I$7:$I$10)-D61-_ERC1*MasterMenu!$G$30)*MasterMenu!$G$28</f>
        <v>0</v>
      </c>
      <c r="E63" s="12">
        <f>+(SUMPRODUCT(E$7:E$10,$I$7:$I$10)-E61-_ERC2*MasterMenu!$G$30)*MasterMenu!$G$28</f>
        <v>0</v>
      </c>
      <c r="F63" s="12">
        <f>+(SUMPRODUCT(F$7:F$10,$I$7:$I$10)-F61-_ERC3*MasterMenu!$G$30)*MasterMenu!$G$28</f>
        <v>0</v>
      </c>
      <c r="G63" s="12">
        <f>+(SUMPRODUCT(G$7:G$10,$I$7:$I$10)-G61-_ERC4*MasterMenu!$G$30)*MasterMenu!$G$28</f>
        <v>0</v>
      </c>
      <c r="H63" s="12">
        <f>SUM(B63:G63)</f>
        <v>0</v>
      </c>
      <c r="I63" s="407"/>
      <c r="M63" s="80"/>
    </row>
    <row r="64" spans="1:13" x14ac:dyDescent="0.25">
      <c r="A64" s="6" t="s">
        <v>12</v>
      </c>
      <c r="B64" s="17">
        <f>+MIN((+B63+B62),MasterMenu!$G$23)</f>
        <v>0</v>
      </c>
      <c r="C64" s="18">
        <f>+MIN((+C63+C62),MasterMenu!$G$23)</f>
        <v>0</v>
      </c>
      <c r="D64" s="18">
        <f>+MIN((+D63+D62),MasterMenu!$G$23)</f>
        <v>0</v>
      </c>
      <c r="E64" s="18">
        <f>+MIN((+E63+E62),MasterMenu!$G$23)</f>
        <v>0</v>
      </c>
      <c r="F64" s="18">
        <f>+MIN((+F63+F62),MasterMenu!$G$23)</f>
        <v>0</v>
      </c>
      <c r="G64" s="18">
        <f>+MIN((+G63+G62),MasterMenu!$G$23)</f>
        <v>0</v>
      </c>
      <c r="H64" s="12">
        <f>SUM(B64:G64)</f>
        <v>0</v>
      </c>
      <c r="I64" s="407"/>
    </row>
    <row r="65" spans="1:13" ht="16.5" thickBot="1" x14ac:dyDescent="0.3">
      <c r="A65" s="6" t="s">
        <v>13</v>
      </c>
      <c r="B65" s="17">
        <f>+MIN((B64+B61),MasterMenu!$G$19)</f>
        <v>0</v>
      </c>
      <c r="C65" s="18">
        <f>+MIN((C64+C61),MasterMenu!$G$19)</f>
        <v>0</v>
      </c>
      <c r="D65" s="18">
        <f>+MIN((D64+D61),MasterMenu!$G$19)</f>
        <v>0</v>
      </c>
      <c r="E65" s="18">
        <f>+MIN((E64+E61),MasterMenu!$G$19)</f>
        <v>0</v>
      </c>
      <c r="F65" s="18">
        <f>+MIN((F64+F61),MasterMenu!$G$19)</f>
        <v>0</v>
      </c>
      <c r="G65" s="18">
        <f>+MIN((G64+G61),MasterMenu!$G$19)</f>
        <v>0</v>
      </c>
      <c r="H65" s="12">
        <f>SUM(B65:G65)</f>
        <v>0</v>
      </c>
      <c r="I65" s="13">
        <f>+MIN((I61+I62),MasterMenu!G$20,Totalmedcosts)</f>
        <v>0</v>
      </c>
      <c r="J65" s="231">
        <f>MasterMenu!G$20</f>
        <v>6000</v>
      </c>
      <c r="L65" t="str">
        <f>+IF(I65&gt;J65,"Error","ok")</f>
        <v>ok</v>
      </c>
    </row>
    <row r="66" spans="1:13" x14ac:dyDescent="0.25">
      <c r="A66" s="140" t="s">
        <v>130</v>
      </c>
      <c r="B66" s="408"/>
      <c r="C66" s="409"/>
      <c r="D66" s="409"/>
      <c r="E66" s="409"/>
      <c r="F66" s="409"/>
      <c r="G66" s="409"/>
      <c r="H66" s="409"/>
      <c r="I66" s="410"/>
    </row>
    <row r="67" spans="1:13" x14ac:dyDescent="0.25">
      <c r="A67" s="4" t="s">
        <v>8</v>
      </c>
      <c r="B67" s="11">
        <f>+MIN(MasterMenu!$G$36,(AM$18+AM$21+AM$22))</f>
        <v>0</v>
      </c>
      <c r="C67" s="12">
        <f>+MIN(MasterMenu!$G$36,(AN$18+AN$21+AN$22))</f>
        <v>0</v>
      </c>
      <c r="D67" s="12">
        <f>+MIN(MasterMenu!$G$36,(AO$18+AO$21+AO$22))</f>
        <v>0</v>
      </c>
      <c r="E67" s="12">
        <f>+MIN(MasterMenu!$G$36,(AP$18+AP$21+AP$22))</f>
        <v>0</v>
      </c>
      <c r="F67" s="12">
        <f>+MIN(MasterMenu!$G$36,(AQ$18+AQ$21+AQ$22))</f>
        <v>0</v>
      </c>
      <c r="G67" s="12">
        <f>+MIN(MasterMenu!$G$36,(AR$18+AR$21+AR$22))</f>
        <v>0</v>
      </c>
      <c r="H67" s="12">
        <f>SUM(B67:G67)</f>
        <v>0</v>
      </c>
      <c r="I67" s="226">
        <f>+MIN(MasterMenu!$G$37,TotalRXCost,H67)</f>
        <v>0</v>
      </c>
    </row>
    <row r="68" spans="1:13" x14ac:dyDescent="0.25">
      <c r="A68" s="4" t="s">
        <v>9</v>
      </c>
      <c r="B68" s="11">
        <f>W$23</f>
        <v>0</v>
      </c>
      <c r="C68" s="12">
        <f t="shared" ref="C68:G68" si="38">X$23</f>
        <v>0</v>
      </c>
      <c r="D68" s="12">
        <f t="shared" si="38"/>
        <v>0</v>
      </c>
      <c r="E68" s="12">
        <f t="shared" si="38"/>
        <v>0</v>
      </c>
      <c r="F68" s="12">
        <f t="shared" si="38"/>
        <v>0</v>
      </c>
      <c r="G68" s="12">
        <f t="shared" si="38"/>
        <v>0</v>
      </c>
      <c r="H68" s="12">
        <f>SUM(B68:G68)</f>
        <v>0</v>
      </c>
      <c r="I68" s="400">
        <f>+MIN(MasterMenu!G35-I67,TotalRXCost,H68)</f>
        <v>0</v>
      </c>
    </row>
    <row r="69" spans="1:13" ht="16.5" thickBot="1" x14ac:dyDescent="0.3">
      <c r="A69" s="6" t="s">
        <v>13</v>
      </c>
      <c r="B69" s="11">
        <f>+MIN(MasterMenu!$G$34,B68+B67)</f>
        <v>0</v>
      </c>
      <c r="C69" s="12">
        <f>+MIN(MasterMenu!$G$34,C68+C67)</f>
        <v>0</v>
      </c>
      <c r="D69" s="12">
        <f>+MIN(MasterMenu!$G$34,D68+D67)</f>
        <v>0</v>
      </c>
      <c r="E69" s="12">
        <f>+MIN(MasterMenu!$G$34,E68+E67)</f>
        <v>0</v>
      </c>
      <c r="F69" s="12">
        <f>+MIN(MasterMenu!$G$34,F68+F67)</f>
        <v>0</v>
      </c>
      <c r="G69" s="12">
        <f>+MIN(MasterMenu!$G$34,G68+G67)</f>
        <v>0</v>
      </c>
      <c r="H69" s="12">
        <f>SUM(B69:G69)</f>
        <v>0</v>
      </c>
      <c r="I69" s="401" t="e">
        <f>+MIN(MasterMenu!#REF!,TotalRXCost,H71)</f>
        <v>#REF!</v>
      </c>
      <c r="J69" s="231">
        <f>+MasterMenu!G$35</f>
        <v>3500</v>
      </c>
      <c r="L69" t="str">
        <f>+IF(I68&gt;J69,"Error","ok")</f>
        <v>ok</v>
      </c>
    </row>
    <row r="70" spans="1:13" x14ac:dyDescent="0.25">
      <c r="A70" s="140"/>
      <c r="B70" s="145"/>
      <c r="C70" s="139"/>
      <c r="D70" s="139"/>
      <c r="E70" s="139"/>
      <c r="F70" s="139"/>
      <c r="G70" s="142"/>
      <c r="H70" s="143" t="s">
        <v>131</v>
      </c>
      <c r="I70" s="144">
        <f>+Totalmedcosts+TotalRXCost</f>
        <v>0</v>
      </c>
    </row>
    <row r="71" spans="1:13" x14ac:dyDescent="0.25">
      <c r="A71" s="140"/>
      <c r="B71" s="145"/>
      <c r="C71" s="139"/>
      <c r="D71" s="139"/>
      <c r="E71" s="139"/>
      <c r="F71" s="139"/>
      <c r="G71" s="145"/>
      <c r="H71" s="141" t="s">
        <v>132</v>
      </c>
      <c r="I71" s="13">
        <f>+I67+I65+I68</f>
        <v>0</v>
      </c>
      <c r="J71" s="231" t="str">
        <f>+IF(I71&gt;J65+J69,"ERROR","ok")</f>
        <v>ok</v>
      </c>
    </row>
    <row r="72" spans="1:13" ht="16.5" thickBot="1" x14ac:dyDescent="0.3">
      <c r="A72" s="140"/>
      <c r="B72" s="146"/>
      <c r="C72" s="148"/>
      <c r="D72" s="148"/>
      <c r="E72" s="148"/>
      <c r="F72" s="148"/>
      <c r="G72" s="146"/>
      <c r="H72" s="147" t="s">
        <v>133</v>
      </c>
      <c r="I72" s="19">
        <f>+I70-I71</f>
        <v>0</v>
      </c>
    </row>
    <row r="73" spans="1:13" s="263" customFormat="1" x14ac:dyDescent="0.25">
      <c r="A73" s="259"/>
      <c r="B73" s="260"/>
      <c r="C73" s="260"/>
      <c r="D73" s="260"/>
      <c r="E73" s="260"/>
      <c r="F73" s="260"/>
      <c r="G73" s="260"/>
      <c r="H73" s="261"/>
      <c r="I73" s="260"/>
      <c r="J73" s="262"/>
      <c r="K73" s="262"/>
    </row>
    <row r="74" spans="1:13" ht="16.5" thickBot="1" x14ac:dyDescent="0.3"/>
    <row r="75" spans="1:13" ht="36" x14ac:dyDescent="0.4">
      <c r="A75" s="250" t="str">
        <f>CONCATENATE("Plan ",MasterMenu!H$1)</f>
        <v>Plan 4</v>
      </c>
      <c r="B75" s="405" t="str">
        <f>MasterMenu!H2</f>
        <v>80% K $30</v>
      </c>
      <c r="C75" s="406"/>
      <c r="D75" s="406"/>
      <c r="E75" s="406"/>
      <c r="F75" s="406"/>
      <c r="G75" s="406"/>
      <c r="H75" s="9" t="s">
        <v>14</v>
      </c>
      <c r="I75" s="10" t="s">
        <v>93</v>
      </c>
    </row>
    <row r="76" spans="1:13" x14ac:dyDescent="0.25">
      <c r="A76" s="140" t="s">
        <v>129</v>
      </c>
      <c r="B76" s="14"/>
      <c r="C76" s="15"/>
      <c r="D76" s="15"/>
      <c r="E76" s="15"/>
      <c r="F76" s="15"/>
      <c r="G76" s="15"/>
      <c r="H76" s="15"/>
      <c r="I76" s="16"/>
      <c r="M76" s="80"/>
    </row>
    <row r="77" spans="1:13" x14ac:dyDescent="0.25">
      <c r="A77" s="4" t="s">
        <v>8</v>
      </c>
      <c r="B77" s="11">
        <f>+MIN(SUMPRODUCT(B$7:B$10,$I$7:$I$10)-EREE*MasterMenu!$H$30,MasterMenu!$H$21)</f>
        <v>0</v>
      </c>
      <c r="C77" s="12">
        <f>+MIN(SUMPRODUCT(C$7:C$10,$I$7:$I$10)-ERSP*MasterMenu!$H$30,MasterMenu!$H$21)</f>
        <v>0</v>
      </c>
      <c r="D77" s="12">
        <f>+MIN(SUMPRODUCT(D$7:D$10,$I$7:$I$10)-_ERC1*MasterMenu!$H$30,MasterMenu!$H$21)</f>
        <v>0</v>
      </c>
      <c r="E77" s="12">
        <f>+MIN(SUMPRODUCT(E$7:E$10,$I$7:$I$10)-_ERC2*MasterMenu!$H$30,MasterMenu!$H$21)</f>
        <v>0</v>
      </c>
      <c r="F77" s="12">
        <f>+MIN(SUMPRODUCT(F$7:F$10,$I$7:$I$10)-_ERC3*MasterMenu!$H$30,MasterMenu!$H$21)</f>
        <v>0</v>
      </c>
      <c r="G77" s="12">
        <f>+MIN(SUMPRODUCT(G$7:G$10,$I$7:$I$10)-_ERC4*MasterMenu!$H$30,MasterMenu!$H$21)</f>
        <v>0</v>
      </c>
      <c r="H77" s="12">
        <f>SUM(B77:G77)</f>
        <v>0</v>
      </c>
      <c r="I77" s="13">
        <f>MIN(MasterMenu!H$22,H77)</f>
        <v>0</v>
      </c>
      <c r="M77" s="80"/>
    </row>
    <row r="78" spans="1:13" x14ac:dyDescent="0.25">
      <c r="A78" s="4" t="s">
        <v>9</v>
      </c>
      <c r="B78" s="11">
        <f>+HWCEE*MasterMenu!$H$26+EREE*MasterMenu!$H$30+TMEE*MasterMenu!$H$32+(_OVEE+MAX(B5-3,0))*MasterMenu!$H$27</f>
        <v>0</v>
      </c>
      <c r="C78" s="12">
        <f>+HWCSP*MasterMenu!$H$26+ERSP*MasterMenu!$H$30+TMSP*MasterMenu!$H$32+(_OVSP+MAX(C5-3,0))*MasterMenu!$H$27</f>
        <v>0</v>
      </c>
      <c r="D78" s="12">
        <f>+HWCC1*MasterMenu!$H$26+_ERC1*MasterMenu!$H$30+_TMC1*MasterMenu!$H$32+(_OVCH1+MAX(D5-3,0))*MasterMenu!$H$27</f>
        <v>0</v>
      </c>
      <c r="E78" s="12">
        <f>+HWCC2*MasterMenu!$H$26+_ERC2*MasterMenu!$H$30+_TMC2*MasterMenu!$H$32+(_OVCH2+MAX(E5-3,0))*MasterMenu!$H$27</f>
        <v>0</v>
      </c>
      <c r="F78" s="12">
        <f>+HWCC3*MasterMenu!$H$26+_ERC3*MasterMenu!$H$30+_TMC3*MasterMenu!$H$32+(_OVCH3+MAX(F5-3,0))*MasterMenu!$H$27</f>
        <v>0</v>
      </c>
      <c r="G78" s="12">
        <f>+HWCC4*MasterMenu!$G$26+_ERC4*MasterMenu!$G$30+_TMC4*MasterMenu!$G$32+(_OVCH4+MAX(G5-3,0))*MasterMenu!$G$27</f>
        <v>0</v>
      </c>
      <c r="H78" s="12">
        <f>SUM(B78:G78)</f>
        <v>0</v>
      </c>
      <c r="I78" s="407">
        <f>+MIN(H80,MasterMenu!G$24)</f>
        <v>0</v>
      </c>
      <c r="M78" s="80"/>
    </row>
    <row r="79" spans="1:13" x14ac:dyDescent="0.25">
      <c r="A79" s="4" t="s">
        <v>10</v>
      </c>
      <c r="B79" s="11">
        <f>+(SUMPRODUCT(B$7:B$10,$I$7:$I$10)-B77-EREE*MasterMenu!$H$30)*MasterMenu!$H$28</f>
        <v>0</v>
      </c>
      <c r="C79" s="12">
        <f>+(SUMPRODUCT(C$7:C$10,$I$7:$I$10)-C77-ERSP*MasterMenu!$H$30)*MasterMenu!$H$28</f>
        <v>0</v>
      </c>
      <c r="D79" s="12">
        <f>+(SUMPRODUCT(D$7:D$10,$I$7:$I$10)-D77-_ERC1*MasterMenu!$H$30)*MasterMenu!$H$28</f>
        <v>0</v>
      </c>
      <c r="E79" s="12">
        <f>+(SUMPRODUCT(E$7:E$10,$I$7:$I$10)-E77-_ERC2*MasterMenu!$H$30)*MasterMenu!$H$28</f>
        <v>0</v>
      </c>
      <c r="F79" s="12">
        <f>+(SUMPRODUCT(F$7:F$10,$I$7:$I$10)-F77-_ERC3*MasterMenu!$H$30)*MasterMenu!$H$28</f>
        <v>0</v>
      </c>
      <c r="G79" s="12">
        <f>+(SUMPRODUCT(G$7:G$10,$I$7:$I$10)-G77-_ERC4*MasterMenu!$H$30)*MasterMenu!$H$28</f>
        <v>0</v>
      </c>
      <c r="H79" s="12">
        <f>SUM(B79:G79)</f>
        <v>0</v>
      </c>
      <c r="I79" s="407"/>
      <c r="M79" s="80"/>
    </row>
    <row r="80" spans="1:13" x14ac:dyDescent="0.25">
      <c r="A80" s="6" t="s">
        <v>12</v>
      </c>
      <c r="B80" s="17">
        <f>+MIN((+B79+B78),MasterMenu!$H$23)</f>
        <v>0</v>
      </c>
      <c r="C80" s="18">
        <f>+MIN((+C79+C78),MasterMenu!$H$23)</f>
        <v>0</v>
      </c>
      <c r="D80" s="18">
        <f>+MIN((+D79+D78),MasterMenu!$H$23)</f>
        <v>0</v>
      </c>
      <c r="E80" s="18">
        <f>+MIN((+E79+E78),MasterMenu!$H$23)</f>
        <v>0</v>
      </c>
      <c r="F80" s="18">
        <f>+MIN((+F79+F78),MasterMenu!$H$23)</f>
        <v>0</v>
      </c>
      <c r="G80" s="18">
        <f>+MIN((+G79+G78),MasterMenu!$H$23)</f>
        <v>0</v>
      </c>
      <c r="H80" s="12">
        <f>SUM(B80:G80)</f>
        <v>0</v>
      </c>
      <c r="I80" s="407"/>
    </row>
    <row r="81" spans="1:43" ht="16.5" thickBot="1" x14ac:dyDescent="0.3">
      <c r="A81" s="6" t="s">
        <v>13</v>
      </c>
      <c r="B81" s="17">
        <f>+MIN((B80+B77),MasterMenu!$H$19)</f>
        <v>0</v>
      </c>
      <c r="C81" s="18">
        <f>+MIN((C80+C77),MasterMenu!$H$19)</f>
        <v>0</v>
      </c>
      <c r="D81" s="18">
        <f>+MIN((D80+D77),MasterMenu!$H$19)</f>
        <v>0</v>
      </c>
      <c r="E81" s="18">
        <f>+MIN((E80+E77),MasterMenu!$H$19)</f>
        <v>0</v>
      </c>
      <c r="F81" s="18">
        <f>+MIN((F80+F77),MasterMenu!$H$19)</f>
        <v>0</v>
      </c>
      <c r="G81" s="18">
        <f>+MIN((G80+G77),MasterMenu!$H$19)</f>
        <v>0</v>
      </c>
      <c r="H81" s="12">
        <f>SUM(B81:G81)</f>
        <v>0</v>
      </c>
      <c r="I81" s="13">
        <f>+MIN((I77+I78),MasterMenu!H$20,Totalmedcosts)</f>
        <v>0</v>
      </c>
      <c r="J81" s="231">
        <f>MasterMenu!H$20</f>
        <v>6000</v>
      </c>
      <c r="L81" t="str">
        <f>+IF(I81&gt;J81,"Error","ok")</f>
        <v>ok</v>
      </c>
    </row>
    <row r="82" spans="1:43" x14ac:dyDescent="0.25">
      <c r="A82" s="140" t="s">
        <v>130</v>
      </c>
      <c r="B82" s="408"/>
      <c r="C82" s="409"/>
      <c r="D82" s="409"/>
      <c r="E82" s="409"/>
      <c r="F82" s="409"/>
      <c r="G82" s="409"/>
      <c r="H82" s="409"/>
      <c r="I82" s="410"/>
    </row>
    <row r="83" spans="1:43" x14ac:dyDescent="0.25">
      <c r="A83" s="4" t="s">
        <v>8</v>
      </c>
      <c r="B83" s="11">
        <f>+MIN(MasterMenu!$H$36,(AM$18+AM$21+AM$22))</f>
        <v>0</v>
      </c>
      <c r="C83" s="12">
        <f>+MIN(MasterMenu!$H$36,(AN$18+AN$21+AN$22))</f>
        <v>0</v>
      </c>
      <c r="D83" s="12">
        <f>+MIN(MasterMenu!$H$36,(AO$18+AO$21+AO$22))</f>
        <v>0</v>
      </c>
      <c r="E83" s="12">
        <f>+MIN(MasterMenu!$H$36,(AP$18+AP$21+AP$22))</f>
        <v>0</v>
      </c>
      <c r="F83" s="12">
        <f>+MIN(MasterMenu!$H$36,(AQ$18+AQ$21+AQ$22))</f>
        <v>0</v>
      </c>
      <c r="G83" s="12">
        <f>+MIN(MasterMenu!$H$36,(AR$18+AR$21+AR$22))</f>
        <v>0</v>
      </c>
      <c r="H83" s="12">
        <f>SUM(B83:G83)</f>
        <v>0</v>
      </c>
      <c r="I83" s="226">
        <f>+MIN(MasterMenu!$H$37,TotalRXCost,H83)</f>
        <v>0</v>
      </c>
    </row>
    <row r="84" spans="1:43" x14ac:dyDescent="0.25">
      <c r="A84" s="4" t="s">
        <v>9</v>
      </c>
      <c r="B84" s="11">
        <f>W$23</f>
        <v>0</v>
      </c>
      <c r="C84" s="12">
        <f t="shared" ref="C84" si="39">X$23</f>
        <v>0</v>
      </c>
      <c r="D84" s="12">
        <f t="shared" ref="D84" si="40">Y$23</f>
        <v>0</v>
      </c>
      <c r="E84" s="12">
        <f t="shared" ref="E84" si="41">Z$23</f>
        <v>0</v>
      </c>
      <c r="F84" s="12">
        <f t="shared" ref="F84" si="42">AA$23</f>
        <v>0</v>
      </c>
      <c r="G84" s="12">
        <f t="shared" ref="G84" si="43">AB$23</f>
        <v>0</v>
      </c>
      <c r="H84" s="12">
        <f>SUM(B84:G84)</f>
        <v>0</v>
      </c>
      <c r="I84" s="400">
        <f>+MIN(MasterMenu!$H$35-I83,TotalRXCost,H84)</f>
        <v>0</v>
      </c>
    </row>
    <row r="85" spans="1:43" ht="16.5" thickBot="1" x14ac:dyDescent="0.3">
      <c r="A85" s="6" t="s">
        <v>13</v>
      </c>
      <c r="B85" s="11">
        <f>+MIN(MasterMenu!$H$34,B84+B83)</f>
        <v>0</v>
      </c>
      <c r="C85" s="12">
        <f>+MIN(MasterMenu!$H$34,C84+C83)</f>
        <v>0</v>
      </c>
      <c r="D85" s="12">
        <f>+MIN(MasterMenu!$H$34,D84+D83)</f>
        <v>0</v>
      </c>
      <c r="E85" s="12">
        <f>+MIN(MasterMenu!$H$34,E84+E83)</f>
        <v>0</v>
      </c>
      <c r="F85" s="12">
        <f>+MIN(MasterMenu!$H$34,F84+F83)</f>
        <v>0</v>
      </c>
      <c r="G85" s="12">
        <f>+MIN(MasterMenu!$H$34,G84+G83)</f>
        <v>0</v>
      </c>
      <c r="H85" s="12">
        <f>SUM(B85:G85)</f>
        <v>0</v>
      </c>
      <c r="I85" s="401" t="e">
        <f>+MIN(MasterMenu!#REF!,TotalRXCost,H87)</f>
        <v>#REF!</v>
      </c>
      <c r="J85" s="231">
        <f>+MasterMenu!H$35</f>
        <v>3500</v>
      </c>
      <c r="L85" t="str">
        <f>+IF(I84&gt;J85+I83,"Error","ok")</f>
        <v>ok</v>
      </c>
    </row>
    <row r="86" spans="1:43" x14ac:dyDescent="0.25">
      <c r="A86" s="140"/>
      <c r="B86" s="145"/>
      <c r="C86" s="139"/>
      <c r="D86" s="139"/>
      <c r="E86" s="139"/>
      <c r="F86" s="139"/>
      <c r="G86" s="142"/>
      <c r="H86" s="143" t="s">
        <v>131</v>
      </c>
      <c r="I86" s="144">
        <f>+Totalmedcosts+TotalRXCost</f>
        <v>0</v>
      </c>
    </row>
    <row r="87" spans="1:43" x14ac:dyDescent="0.25">
      <c r="A87" s="140"/>
      <c r="B87" s="145"/>
      <c r="C87" s="139"/>
      <c r="D87" s="139"/>
      <c r="E87" s="139"/>
      <c r="F87" s="139"/>
      <c r="G87" s="145"/>
      <c r="H87" s="141" t="s">
        <v>132</v>
      </c>
      <c r="I87" s="13">
        <f>+I83+I81+I84</f>
        <v>0</v>
      </c>
      <c r="J87" s="231" t="str">
        <f>+IF(I87&gt;J81+J85,"ERROR","ok")</f>
        <v>ok</v>
      </c>
    </row>
    <row r="88" spans="1:43" ht="16.5" thickBot="1" x14ac:dyDescent="0.3">
      <c r="A88" s="140"/>
      <c r="B88" s="146"/>
      <c r="C88" s="148"/>
      <c r="D88" s="148"/>
      <c r="E88" s="148"/>
      <c r="F88" s="148"/>
      <c r="G88" s="146"/>
      <c r="H88" s="147" t="s">
        <v>133</v>
      </c>
      <c r="I88" s="19">
        <f>+I86-I87</f>
        <v>0</v>
      </c>
    </row>
    <row r="90" spans="1:43" ht="16.5" thickBot="1" x14ac:dyDescent="0.3"/>
    <row r="91" spans="1:43" ht="36" x14ac:dyDescent="0.4">
      <c r="A91" s="250" t="str">
        <f>CONCATENATE("Plan ",MasterMenu!I$1)</f>
        <v>Plan 5</v>
      </c>
      <c r="B91" s="394" t="str">
        <f>+MasterMenu!I2</f>
        <v>HSA $1500</v>
      </c>
      <c r="C91" s="395"/>
      <c r="D91" s="395"/>
      <c r="E91" s="395"/>
      <c r="F91" s="395"/>
      <c r="G91" s="395"/>
      <c r="H91" s="178" t="s">
        <v>14</v>
      </c>
      <c r="I91" s="179" t="s">
        <v>93</v>
      </c>
      <c r="J91" s="5" t="s">
        <v>156</v>
      </c>
    </row>
    <row r="92" spans="1:43" x14ac:dyDescent="0.25">
      <c r="A92" s="140" t="s">
        <v>129</v>
      </c>
      <c r="B92" s="180"/>
      <c r="C92" s="181"/>
      <c r="D92" s="181"/>
      <c r="E92" s="181"/>
      <c r="F92" s="181"/>
      <c r="G92" s="181"/>
      <c r="H92" s="181"/>
      <c r="I92" s="182"/>
      <c r="M92" s="80"/>
    </row>
    <row r="93" spans="1:43" x14ac:dyDescent="0.25">
      <c r="A93" s="4" t="s">
        <v>8</v>
      </c>
      <c r="B93" s="183">
        <f>+MIN(SUMPRODUCT(B$3:B$11,$I$3:$I$11)-EREE*MasterMenu!$I$30,MasterMenu!$I$21)</f>
        <v>0</v>
      </c>
      <c r="C93" s="184" t="s">
        <v>142</v>
      </c>
      <c r="D93" s="184" t="s">
        <v>142</v>
      </c>
      <c r="E93" s="184" t="s">
        <v>142</v>
      </c>
      <c r="F93" s="184" t="s">
        <v>142</v>
      </c>
      <c r="G93" s="184" t="s">
        <v>142</v>
      </c>
      <c r="H93" s="185">
        <f>SUM(B93:G93)</f>
        <v>0</v>
      </c>
      <c r="I93" s="186">
        <f>MIN(MasterMenu!I$22,H93)</f>
        <v>0</v>
      </c>
      <c r="M93" s="80"/>
    </row>
    <row r="94" spans="1:43" x14ac:dyDescent="0.25">
      <c r="A94" s="4" t="s">
        <v>9</v>
      </c>
      <c r="B94" s="183"/>
      <c r="C94" s="184" t="s">
        <v>142</v>
      </c>
      <c r="D94" s="184" t="s">
        <v>142</v>
      </c>
      <c r="E94" s="184" t="s">
        <v>142</v>
      </c>
      <c r="F94" s="184" t="s">
        <v>142</v>
      </c>
      <c r="G94" s="184" t="s">
        <v>142</v>
      </c>
      <c r="H94" s="185">
        <f>SUM(B94:G94)</f>
        <v>0</v>
      </c>
      <c r="I94" s="396">
        <f>+MIN(H96,MasterMenu!I$24)</f>
        <v>0</v>
      </c>
      <c r="J94" s="227" t="s">
        <v>148</v>
      </c>
      <c r="K94" s="227"/>
      <c r="M94" s="80"/>
      <c r="AM94">
        <f>+IF(B99&lt;MasterMenu!$I$36,0,IF(AU$16&gt;B99,MIN(AU$16-B99,B$16*$K$16*$N$16,ROUNDUP((AU$16-B99)/$I$16,0)*$N$16),0))</f>
        <v>0</v>
      </c>
      <c r="AN94" t="e">
        <f t="shared" ref="AN94:AN100" si="44">+AM94/N16</f>
        <v>#DIV/0!</v>
      </c>
    </row>
    <row r="95" spans="1:43" x14ac:dyDescent="0.25">
      <c r="A95" s="4" t="s">
        <v>10</v>
      </c>
      <c r="B95" s="183">
        <f>+MAX(0,(SUMPRODUCT(B$3:B$11,$I$3:$I$11)-B93-EREE*MasterMenu!$I$30)*MasterMenu!$I$28)</f>
        <v>0</v>
      </c>
      <c r="C95" s="184" t="s">
        <v>142</v>
      </c>
      <c r="D95" s="184" t="s">
        <v>142</v>
      </c>
      <c r="E95" s="184" t="s">
        <v>142</v>
      </c>
      <c r="F95" s="184" t="s">
        <v>142</v>
      </c>
      <c r="G95" s="184" t="s">
        <v>142</v>
      </c>
      <c r="H95" s="185">
        <f>SUM(B95:G95)</f>
        <v>0</v>
      </c>
      <c r="I95" s="396"/>
      <c r="M95" s="80"/>
      <c r="AM95">
        <f>+IF(B99&lt;MasterMenu!$I$36,0,IF(AU$17&gt;B99,MIN(AU$17-B99,B$17*$K$17*$N$17,ROUNDUP((AU$17-B99)/$I$17,0)*$N$17),0))</f>
        <v>0</v>
      </c>
      <c r="AN95">
        <f t="shared" si="44"/>
        <v>0</v>
      </c>
    </row>
    <row r="96" spans="1:43" x14ac:dyDescent="0.25">
      <c r="A96" s="6" t="s">
        <v>12</v>
      </c>
      <c r="B96" s="187">
        <f>+MIN((+B95+B94),MasterMenu!$I$19-B93)</f>
        <v>0</v>
      </c>
      <c r="C96" s="188" t="s">
        <v>142</v>
      </c>
      <c r="D96" s="188" t="s">
        <v>142</v>
      </c>
      <c r="E96" s="188" t="s">
        <v>142</v>
      </c>
      <c r="F96" s="188" t="s">
        <v>142</v>
      </c>
      <c r="G96" s="188" t="s">
        <v>142</v>
      </c>
      <c r="H96" s="185">
        <f>SUM(B96:G96)</f>
        <v>0</v>
      </c>
      <c r="I96" s="396"/>
      <c r="AM96">
        <f>+IF(B99&lt;MasterMenu!$I$36,0,IF(AU$18&gt;B99,MIN(AU$18-B99,B$18*$K$18*$N$18,ROUNDUP((AU$18-B99)/$I$18,0)*$N$18),0))</f>
        <v>0</v>
      </c>
      <c r="AN96">
        <f t="shared" si="44"/>
        <v>0</v>
      </c>
      <c r="AO96" s="5"/>
      <c r="AP96" s="246"/>
      <c r="AQ96" s="247"/>
    </row>
    <row r="97" spans="1:44" ht="16.5" thickBot="1" x14ac:dyDescent="0.3">
      <c r="A97" s="6" t="s">
        <v>13</v>
      </c>
      <c r="B97" s="187">
        <f>+MIN((B96+B93),MasterMenu!$I$19)</f>
        <v>0</v>
      </c>
      <c r="C97" s="188" t="s">
        <v>142</v>
      </c>
      <c r="D97" s="188" t="s">
        <v>142</v>
      </c>
      <c r="E97" s="188" t="s">
        <v>142</v>
      </c>
      <c r="F97" s="188" t="s">
        <v>142</v>
      </c>
      <c r="G97" s="188" t="s">
        <v>142</v>
      </c>
      <c r="H97" s="185">
        <f>SUM(B97:G97)</f>
        <v>0</v>
      </c>
      <c r="I97" s="186">
        <f>+MIN((I93+I94),MasterMenu!I$20,Totalmedcosts)</f>
        <v>0</v>
      </c>
      <c r="AM97">
        <f>+IF(B99&lt;MasterMenu!$I$36,0,IF(AU$19&gt;B99,MIN(AU$19-B99,B$19*$K$19*$N$19,ROUNDUP((AU$19-B99)/$I$19,0)*$N$19),0))</f>
        <v>0</v>
      </c>
      <c r="AN97" t="e">
        <f t="shared" si="44"/>
        <v>#DIV/0!</v>
      </c>
      <c r="AO97" s="212"/>
      <c r="AP97" s="212"/>
    </row>
    <row r="98" spans="1:44" x14ac:dyDescent="0.25">
      <c r="A98" s="140" t="s">
        <v>130</v>
      </c>
      <c r="B98" s="397"/>
      <c r="C98" s="398"/>
      <c r="D98" s="398"/>
      <c r="E98" s="398"/>
      <c r="F98" s="398"/>
      <c r="G98" s="398"/>
      <c r="H98" s="398"/>
      <c r="I98" s="399"/>
      <c r="AL98" s="248">
        <f>+IF(A99&lt;MasterMenu!$I$36,0,IF(SUM(AL99:AL$100)&gt;0,AD20,IF(AU20&gt;0,MAX(0,(A20*$K20)-ROUNDDOWN(MasterMenu!$I$36/'Estimated Costs'!H20,0)))*$N20))</f>
        <v>0</v>
      </c>
      <c r="AM98">
        <f>+IF(B99&lt;MasterMenu!$I$36,0,IF(AU$20&gt;B99,MIN(AU$20-B99,B$20*$K$20*$N$20,ROUNDUP((AU$20-B99)/$I$20,0)*$N$20),0))</f>
        <v>0</v>
      </c>
      <c r="AN98">
        <f t="shared" si="44"/>
        <v>0</v>
      </c>
      <c r="AO98" s="212"/>
      <c r="AP98" s="212"/>
    </row>
    <row r="99" spans="1:44" x14ac:dyDescent="0.25">
      <c r="A99" s="4" t="s">
        <v>8</v>
      </c>
      <c r="B99" s="183">
        <f>+MIN(MasterMenu!$I$36-B93,(AM$23))</f>
        <v>0</v>
      </c>
      <c r="C99" s="184" t="s">
        <v>142</v>
      </c>
      <c r="D99" s="184" t="s">
        <v>142</v>
      </c>
      <c r="E99" s="184" t="s">
        <v>142</v>
      </c>
      <c r="F99" s="184" t="s">
        <v>142</v>
      </c>
      <c r="G99" s="184" t="s">
        <v>142</v>
      </c>
      <c r="H99" s="185">
        <f>SUM(B99:G99)</f>
        <v>0</v>
      </c>
      <c r="I99" s="402">
        <f>+MIN(MasterMenu!$I$35,H101)</f>
        <v>0</v>
      </c>
      <c r="AL99" s="248">
        <f>+IF(A99&lt;MasterMenu!$I$36,0,IF(AL$100&gt;0,AD21,IF(AU21&gt;0,MAX(0,(A21*$K21)-ROUNDDOWN(MasterMenu!$I$36/'Estimated Costs'!H21,0)))*$N21))</f>
        <v>0</v>
      </c>
      <c r="AM99">
        <f>+IF(B99&lt;MasterMenu!$I$36,0,IF(AU$21&gt;B99,MIN(AU$21-B99,B$21*$K$21*$N$21,ROUNDUP((AU$21-B99)/$I$21,0)*$N$21),0))</f>
        <v>0</v>
      </c>
      <c r="AN99">
        <f t="shared" si="44"/>
        <v>0</v>
      </c>
      <c r="AO99" s="20"/>
    </row>
    <row r="100" spans="1:44" x14ac:dyDescent="0.25">
      <c r="A100" s="4" t="s">
        <v>9</v>
      </c>
      <c r="B100" s="183">
        <f>+IF(B99=0,AE$23,AM101)</f>
        <v>0</v>
      </c>
      <c r="C100" s="184" t="s">
        <v>142</v>
      </c>
      <c r="D100" s="184" t="s">
        <v>142</v>
      </c>
      <c r="E100" s="184" t="s">
        <v>142</v>
      </c>
      <c r="F100" s="184" t="s">
        <v>142</v>
      </c>
      <c r="G100" s="184" t="s">
        <v>142</v>
      </c>
      <c r="H100" s="185">
        <f>SUM(B100:G100)</f>
        <v>0</v>
      </c>
      <c r="I100" s="403"/>
      <c r="AL100" s="248">
        <f>+IF(A99&lt;MasterMenu!$I$36,0,IF(AU22&gt;0,MAX(0,(A22*$K22)-ROUNDDOWN(MasterMenu!$I$36/'Estimated Costs'!H22,0)))*$N22)</f>
        <v>0</v>
      </c>
      <c r="AM100">
        <f>+IF(B99&lt;MasterMenu!$I$36,0,IF(AU$22&gt;B99,MIN(AU$22-B99,B$22*$K$22*$N$22,ROUNDUP((AU$22-B99)/$I$22,0)*$N$22),0))</f>
        <v>0</v>
      </c>
      <c r="AN100">
        <f t="shared" si="44"/>
        <v>0</v>
      </c>
    </row>
    <row r="101" spans="1:44" ht="16.5" thickBot="1" x14ac:dyDescent="0.3">
      <c r="A101" s="6" t="s">
        <v>13</v>
      </c>
      <c r="B101" s="234">
        <f>+MAX(0,MIN(MasterMenu!$I$34,B100+B99))</f>
        <v>0</v>
      </c>
      <c r="C101" s="235" t="s">
        <v>142</v>
      </c>
      <c r="D101" s="235" t="s">
        <v>142</v>
      </c>
      <c r="E101" s="235" t="s">
        <v>142</v>
      </c>
      <c r="F101" s="235" t="s">
        <v>142</v>
      </c>
      <c r="G101" s="235" t="s">
        <v>142</v>
      </c>
      <c r="H101" s="236">
        <f>SUM(B101:G101)</f>
        <v>0</v>
      </c>
      <c r="I101" s="404"/>
      <c r="AM101">
        <f>SUM(AM94:AM100)</f>
        <v>0</v>
      </c>
    </row>
    <row r="102" spans="1:44" ht="16.5" thickBot="1" x14ac:dyDescent="0.3">
      <c r="A102" s="140" t="s">
        <v>13</v>
      </c>
      <c r="B102" s="237">
        <f>+MIN(B101+B97,MasterMenu!$I$19)</f>
        <v>0</v>
      </c>
      <c r="C102" s="238" t="s">
        <v>142</v>
      </c>
      <c r="D102" s="238" t="s">
        <v>142</v>
      </c>
      <c r="E102" s="238" t="s">
        <v>142</v>
      </c>
      <c r="F102" s="238" t="s">
        <v>142</v>
      </c>
      <c r="G102" s="238" t="s">
        <v>142</v>
      </c>
      <c r="H102" s="239">
        <f>SUM(B102:G102)</f>
        <v>0</v>
      </c>
      <c r="I102" s="233">
        <f>+MIN(H102,I99+I97,MasterMenu!$I$19)</f>
        <v>0</v>
      </c>
    </row>
    <row r="103" spans="1:44" x14ac:dyDescent="0.25">
      <c r="A103" s="140"/>
      <c r="B103" s="189"/>
      <c r="C103" s="190"/>
      <c r="D103" s="190"/>
      <c r="E103" s="190"/>
      <c r="F103" s="190"/>
      <c r="G103" s="189"/>
      <c r="H103" s="193" t="s">
        <v>131</v>
      </c>
      <c r="I103" s="240">
        <f>+TotalMedEE+TotalRXEE</f>
        <v>0</v>
      </c>
    </row>
    <row r="104" spans="1:44" x14ac:dyDescent="0.25">
      <c r="A104" s="140"/>
      <c r="B104" s="189"/>
      <c r="C104" s="190"/>
      <c r="D104" s="190"/>
      <c r="E104" s="190"/>
      <c r="F104" s="190"/>
      <c r="G104" s="189"/>
      <c r="H104" s="193" t="s">
        <v>132</v>
      </c>
      <c r="I104" s="241">
        <f>I102</f>
        <v>0</v>
      </c>
      <c r="J104" s="231">
        <f>MasterMenu!I$19</f>
        <v>3000</v>
      </c>
      <c r="L104" t="str">
        <f>+IF(I104&gt;J104,"Error","ok")</f>
        <v>ok</v>
      </c>
    </row>
    <row r="105" spans="1:44" ht="16.5" thickBot="1" x14ac:dyDescent="0.3">
      <c r="A105" s="140"/>
      <c r="B105" s="194"/>
      <c r="C105" s="195"/>
      <c r="D105" s="195"/>
      <c r="E105" s="195"/>
      <c r="F105" s="195"/>
      <c r="G105" s="194"/>
      <c r="H105" s="196" t="s">
        <v>133</v>
      </c>
      <c r="I105" s="242">
        <f>+I103-I104</f>
        <v>0</v>
      </c>
    </row>
    <row r="106" spans="1:44" x14ac:dyDescent="0.25">
      <c r="A106" s="140"/>
      <c r="B106" s="94"/>
      <c r="C106" s="94"/>
      <c r="D106" s="94"/>
      <c r="E106" s="94"/>
      <c r="F106" s="94"/>
      <c r="G106" s="94"/>
      <c r="H106" s="265"/>
      <c r="I106" s="94"/>
      <c r="J106" s="104"/>
      <c r="K106" s="104"/>
    </row>
    <row r="107" spans="1:44" ht="16.5" thickBot="1" x14ac:dyDescent="0.3"/>
    <row r="108" spans="1:44" ht="36" x14ac:dyDescent="0.4">
      <c r="A108" s="250" t="str">
        <f>CONCATENATE("Plan ",MasterMenu!I$1)</f>
        <v>Plan 5</v>
      </c>
      <c r="B108" s="394" t="str">
        <f>+MasterMenu!I2</f>
        <v>HSA $1500</v>
      </c>
      <c r="C108" s="395"/>
      <c r="D108" s="395"/>
      <c r="E108" s="395"/>
      <c r="F108" s="395"/>
      <c r="G108" s="395"/>
      <c r="H108" s="178" t="s">
        <v>14</v>
      </c>
      <c r="I108" s="179" t="s">
        <v>93</v>
      </c>
      <c r="J108" s="5" t="s">
        <v>55</v>
      </c>
    </row>
    <row r="109" spans="1:44" x14ac:dyDescent="0.25">
      <c r="A109" s="140" t="s">
        <v>129</v>
      </c>
      <c r="B109" s="180"/>
      <c r="C109" s="181"/>
      <c r="D109" s="181"/>
      <c r="E109" s="181"/>
      <c r="F109" s="181"/>
      <c r="G109" s="181"/>
      <c r="H109" s="181"/>
      <c r="I109" s="182"/>
      <c r="M109" s="80"/>
    </row>
    <row r="110" spans="1:44" x14ac:dyDescent="0.25">
      <c r="A110" s="4" t="s">
        <v>8</v>
      </c>
      <c r="B110" s="164">
        <f>+MIN(SUMPRODUCT(B$3:B$11,$I$3:$I$11)-EREE*MasterMenu!$I$30,2800)</f>
        <v>0</v>
      </c>
      <c r="C110" s="167">
        <f>+MIN(SUMPRODUCT(C$3:C$11,$I$3:$I$11)-ERSP*MasterMenu!$I$30,2800)</f>
        <v>0</v>
      </c>
      <c r="D110" s="167">
        <f>+MIN(SUMPRODUCT(D$3:D$11,$I$3:$I$11)-_ERC1*MasterMenu!$I$30,2800)</f>
        <v>0</v>
      </c>
      <c r="E110" s="167">
        <f>+MIN(SUMPRODUCT(E$3:E$11,$I$3:$I$11)-_ERC2*MasterMenu!$I$30,2800)</f>
        <v>0</v>
      </c>
      <c r="F110" s="167">
        <f>+MIN(SUMPRODUCT(F$3:F$11,$I$3:$I$11)-_ERC3*MasterMenu!$I$30,2800)</f>
        <v>0</v>
      </c>
      <c r="G110" s="167">
        <f>+MIN(SUMPRODUCT(G$3:G$11,$I$3:$I$11)-_ERC4*MasterMenu!$I$30,2800)</f>
        <v>0</v>
      </c>
      <c r="H110" s="185">
        <f>SUM(B110:G110)</f>
        <v>0</v>
      </c>
      <c r="I110" s="186">
        <f>MIN(MasterMenu!I$22,H110)</f>
        <v>0</v>
      </c>
      <c r="J110" s="232" t="s">
        <v>160</v>
      </c>
      <c r="K110" s="232"/>
      <c r="M110" s="80"/>
    </row>
    <row r="111" spans="1:44" x14ac:dyDescent="0.25">
      <c r="A111" s="4" t="s">
        <v>9</v>
      </c>
      <c r="B111" s="183"/>
      <c r="C111" s="184"/>
      <c r="D111" s="184"/>
      <c r="E111" s="184"/>
      <c r="F111" s="185"/>
      <c r="G111" s="185"/>
      <c r="H111" s="185">
        <f>SUM(B111:G111)</f>
        <v>0</v>
      </c>
      <c r="I111" s="396">
        <f>+MIN(H113,MasterMenu!G$24)</f>
        <v>0</v>
      </c>
      <c r="J111" s="227" t="s">
        <v>148</v>
      </c>
      <c r="K111" s="227"/>
      <c r="M111" s="80"/>
      <c r="AM111">
        <f>+IF(B116&lt;MasterMenu!$I$36,0,IF(AU$16&gt;B116,MIN(AU$16-B116,B$16*$K$16*$N$16,ROUNDUP((AU$16-B116)/$I$16,0)*$N$16),0))</f>
        <v>0</v>
      </c>
      <c r="AN111">
        <f>+IF(C116&lt;MasterMenu!$I$36,0,IF(AV$16&gt;C116,MIN(AV$16-C116,C$16*$K$16*$N$16,ROUNDUP((AV$16-C116)/$I$16,0)*$N$16),0))</f>
        <v>0</v>
      </c>
      <c r="AO111">
        <f>+IF(D116&lt;MasterMenu!$I$36,0,IF(AW$16&gt;D116,MIN(AW$16-D116,D$16*$K$16*$N$16,ROUNDUP((AW$16-D116)/$I$16,0)*$N$16),0))</f>
        <v>0</v>
      </c>
      <c r="AP111">
        <f>+IF(E116&lt;MasterMenu!$I$36,0,IF(AX$16&gt;E116,MIN(AX$16-E116,E$16*$K$16*$N$16,ROUNDUP((AX$16-E116)/$I$16,0)*$N$16),0))</f>
        <v>0</v>
      </c>
      <c r="AQ111">
        <f>+IF(F116&lt;MasterMenu!$I$36,0,IF(AY$16&gt;F116,MIN(AY$16-F116,F$16*$K$16*$N$16,ROUNDUP((AY$16-F116)/$I$16,0)*$N$16),0))</f>
        <v>0</v>
      </c>
      <c r="AR111">
        <f>+IF(G116&lt;MasterMenu!$I$36,0,IF(AZ$16&gt;G116,MIN(AZ$16-G116,G$16*$K$16*$N$16,ROUNDUP((AZ$16-G116)/$I$16,0)*$N$16),0))</f>
        <v>0</v>
      </c>
    </row>
    <row r="112" spans="1:44" x14ac:dyDescent="0.25">
      <c r="A112" s="4" t="s">
        <v>10</v>
      </c>
      <c r="B112" s="183">
        <f>+MAX(0,(SUMPRODUCT(B$3:B$11,$I$3:$I$11)-B110-EREE*MasterMenu!$I$30)*MasterMenu!$I$28)</f>
        <v>0</v>
      </c>
      <c r="C112" s="184">
        <f>+MAX(0,(SUMPRODUCT(C$3:C$11,$I$3:$I$11)-C110-ERSP*MasterMenu!$I$30)*MasterMenu!$I$28)</f>
        <v>0</v>
      </c>
      <c r="D112" s="184">
        <f>+MAX(0,(SUMPRODUCT(D$3:D$11,$I$3:$I$11)-D110-_ERC1*MasterMenu!$I$30)*MasterMenu!$I$28)</f>
        <v>0</v>
      </c>
      <c r="E112" s="184">
        <f>+MAX(0,(SUMPRODUCT(E$3:E$11,$I$3:$I$11)-E110-_ERC2*MasterMenu!$I$30)*MasterMenu!$I$28)</f>
        <v>0</v>
      </c>
      <c r="F112" s="184">
        <f>+MAX(0,(SUMPRODUCT(F$3:F$11,$I$3:$I$11)-F110-_ERC3*MasterMenu!$I$30)*MasterMenu!$I$28)</f>
        <v>0</v>
      </c>
      <c r="G112" s="184">
        <f>+MAX(0,(SUMPRODUCT(G$3:G$11,$I$3:$I$11)-G110-_ERC4*MasterMenu!$I$30)*MasterMenu!$I$28)</f>
        <v>0</v>
      </c>
      <c r="H112" s="185">
        <f>SUM(B112:G112)</f>
        <v>0</v>
      </c>
      <c r="I112" s="396"/>
      <c r="M112" s="80"/>
      <c r="AM112">
        <f>+IF(B116&lt;MasterMenu!$I$36,0,IF(AU$17&gt;B116,MIN(AU$17-B116,B$17*$K$17*$N$17,ROUNDUP((AU$17-B116)/$I$17,0)*$N$17),0))</f>
        <v>0</v>
      </c>
      <c r="AN112">
        <f>+IF(C116&lt;MasterMenu!$I$36,0,IF(AV$17&gt;C116,MIN(AV$17-C116,C$17*$K$17*$N$17,ROUNDUP((AV$17-C116)/$I$17,0)*$N$17),0))</f>
        <v>0</v>
      </c>
      <c r="AO112">
        <f>+IF(D116&lt;MasterMenu!$I$36,0,IF(AW$17&gt;D116,MIN(AW$17-D116,D$17*$K$17*$N$17,ROUNDUP((AW$17-D116)/$I$17,0)*$N$17),0))</f>
        <v>0</v>
      </c>
      <c r="AP112">
        <f>+IF(E116&lt;MasterMenu!$I$36,0,IF(AX$17&gt;E116,MIN(AX$17-E116,E$17*$K$17*$N$17,ROUNDUP((AX$17-E116)/$I$17,0)*$N$17),0))</f>
        <v>0</v>
      </c>
      <c r="AQ112">
        <f>+IF(F116&lt;MasterMenu!$I$36,0,IF(AY$17&gt;F116,MIN(AY$17-F116,F$17*$K$17*$N$17,ROUNDUP((AY$17-F116)/$I$17,0)*$N$17),0))</f>
        <v>0</v>
      </c>
      <c r="AR112">
        <f>+IF(G116&lt;MasterMenu!$I$36,0,IF(AZ$17&gt;G116,MIN(AZ$17-G116,G$17*$K$17*$N$17,ROUNDUP((AZ$17-G116)/$I$17,0)*$N$17),0))</f>
        <v>0</v>
      </c>
    </row>
    <row r="113" spans="1:44" x14ac:dyDescent="0.25">
      <c r="A113" s="6" t="s">
        <v>12</v>
      </c>
      <c r="B113" s="187">
        <f>+MIN((+B112+B111),MasterMenu!$I$19-B110)</f>
        <v>0</v>
      </c>
      <c r="C113" s="188">
        <f>+MIN((+C112+C111),MasterMenu!$I$19-C110)</f>
        <v>0</v>
      </c>
      <c r="D113" s="188">
        <f>+MIN((+D112+D111),MasterMenu!$I$19-D110)</f>
        <v>0</v>
      </c>
      <c r="E113" s="188">
        <f>+MIN((+E112+E111),MasterMenu!$I$19-E110)</f>
        <v>0</v>
      </c>
      <c r="F113" s="188">
        <f>+MIN((+F112+F111),MasterMenu!$I$19-F110)</f>
        <v>0</v>
      </c>
      <c r="G113" s="188">
        <f>+MIN((+G112+G111),MasterMenu!$I$19-G110)</f>
        <v>0</v>
      </c>
      <c r="H113" s="185">
        <f>SUM(B113:G113)</f>
        <v>0</v>
      </c>
      <c r="I113" s="396"/>
      <c r="AM113">
        <f>+IF(B116&lt;MasterMenu!$I$36,0,IF(AU$18&gt;B116,MIN(AU$18-B116,B$18*$K$18*$N$18,ROUNDUP((AU$18-B116)/$I$18,0)*$N$18),0))</f>
        <v>0</v>
      </c>
      <c r="AN113">
        <f>+IF(C116&lt;MasterMenu!$I$36,0,IF(AV$18&gt;C116,MIN(AV$18-C116,C$18*$K$18*$N$18,ROUNDUP((AV$18-C116)/$I$18,0)*$N$18),0))</f>
        <v>0</v>
      </c>
      <c r="AO113">
        <f>+IF(D116&lt;MasterMenu!$I$36,0,IF(AW$18&gt;D116,MIN(AW$18-D116,D$18*$K$18*$N$18,ROUNDUP((AW$18-D116)/$I$18,0)*$N$18),0))</f>
        <v>0</v>
      </c>
      <c r="AP113">
        <f>+IF(E116&lt;MasterMenu!$I$36,0,IF(AX$18&gt;E116,MIN(AX$18-E116,E$18*$K$18*$N$18,ROUNDUP((AX$18-E116)/$I$18,0)*$N$18),0))</f>
        <v>0</v>
      </c>
      <c r="AQ113">
        <f>+IF(F116&lt;MasterMenu!$I$36,0,IF(AY$18&gt;F116,MIN(AY$18-F116,F$18*$K$18*$N$18,ROUNDUP((AY$18-F116)/$I$18,0)*$N$18),0))</f>
        <v>0</v>
      </c>
      <c r="AR113">
        <f>+IF(G116&lt;MasterMenu!$I$36,0,IF(AZ$18&gt;G116,MIN(AZ$18-G116,G$18*$K$18*$N$18,ROUNDUP((AZ$18-G116)/$I$18,0)*$N$18),0))</f>
        <v>0</v>
      </c>
    </row>
    <row r="114" spans="1:44" ht="16.5" thickBot="1" x14ac:dyDescent="0.3">
      <c r="A114" s="6" t="s">
        <v>13</v>
      </c>
      <c r="B114" s="187">
        <f>+MIN((B113+B110),MasterMenu!$I$19)</f>
        <v>0</v>
      </c>
      <c r="C114" s="188">
        <f>+MIN((C113+C110),MasterMenu!$I$19)</f>
        <v>0</v>
      </c>
      <c r="D114" s="188">
        <f>+MIN((D113+D110),MasterMenu!$I$19)</f>
        <v>0</v>
      </c>
      <c r="E114" s="188">
        <f>+MIN((E113+E110),MasterMenu!$I$19)</f>
        <v>0</v>
      </c>
      <c r="F114" s="188">
        <f>+MIN((F113+F110),MasterMenu!$I$19)</f>
        <v>0</v>
      </c>
      <c r="G114" s="188">
        <f>+MIN((G113+G110),MasterMenu!$I$19)</f>
        <v>0</v>
      </c>
      <c r="H114" s="185">
        <f>SUM(B114:G114)</f>
        <v>0</v>
      </c>
      <c r="I114" s="186">
        <f>+MIN((I110+I111),MasterMenu!I$20,H114)</f>
        <v>0</v>
      </c>
      <c r="AM114">
        <f>+IF(B116&lt;MasterMenu!$I$36,0,IF(AU$19&gt;B116,MIN(AU$19-B116,B$19*$K$19*$N$19,ROUNDUP((AU$19-B116)/$I$19,0)*$N$19),0))</f>
        <v>0</v>
      </c>
      <c r="AN114">
        <f>+IF(C116&lt;MasterMenu!$I$36,0,IF(AV$19&gt;C116,MIN(AV$19-C116,C$19*$K$19*$N$19,ROUNDUP((AV$19-C116)/$I$19,0)*$N$19),0))</f>
        <v>0</v>
      </c>
      <c r="AO114">
        <f>+IF(D116&lt;MasterMenu!$I$36,0,IF(AW$19&gt;D116,MIN(AW$19-D116,D$19*$K$19*$N$19,ROUNDUP((AW$19-D116)/$I$19,0)*$N$19),0))</f>
        <v>0</v>
      </c>
      <c r="AP114">
        <f>+IF(E116&lt;MasterMenu!$I$36,0,IF(AX$19&gt;E116,MIN(AX$19-E116,E$19*$K$19*$N$19,ROUNDUP((AX$19-E116)/$I$19,0)*$N$19),0))</f>
        <v>0</v>
      </c>
      <c r="AQ114">
        <f>+IF(F116&lt;MasterMenu!$I$36,0,IF(AY$19&gt;F116,MIN(AY$19-F116,F$19*$K$19*$N$19,ROUNDUP((AY$19-F116)/$I$19,0)*$N$19),0))</f>
        <v>0</v>
      </c>
      <c r="AR114">
        <f>+IF(G116&lt;MasterMenu!$I$36,0,IF(AZ$19&gt;G116,MIN(AZ$19-G116,G$19*$K$19*$N$19,ROUNDUP((AZ$19-F116)/$I$19,0)*$N$19),0))</f>
        <v>0</v>
      </c>
    </row>
    <row r="115" spans="1:44" x14ac:dyDescent="0.25">
      <c r="A115" s="140" t="s">
        <v>130</v>
      </c>
      <c r="B115" s="397"/>
      <c r="C115" s="398"/>
      <c r="D115" s="398"/>
      <c r="E115" s="398"/>
      <c r="F115" s="398"/>
      <c r="G115" s="398"/>
      <c r="H115" s="398"/>
      <c r="I115" s="399"/>
      <c r="AM115">
        <f>+IF(B116&lt;MasterMenu!$I$36,0,IF(AU$20&gt;B116,MIN(AU$20-B116,B$20*$K$20*$N$20,ROUNDUP((AU$20-B116)/$I$20,0)*$N$20),0))</f>
        <v>0</v>
      </c>
      <c r="AN115">
        <f>+IF(C116&lt;MasterMenu!$I$36,0,IF(AV$20&gt;C116,MIN(AV$20-C116,C$20*$K$20*$N$20,ROUNDUP((AV$20-C$32)/$I$20,0)*$N$20),0))</f>
        <v>0</v>
      </c>
      <c r="AO115">
        <f>+IF(D116&lt;MasterMenu!$I$36,0,IF(AW$20&gt;D116,MIN(AW$20-D116,D$20*$K$20*$N$20,ROUNDUP((AW$20-D116)/$I$20,0)*$N$20),0))</f>
        <v>0</v>
      </c>
      <c r="AP115">
        <f>+IF(E116&lt;MasterMenu!$I$36,0,IF(AX$20&gt;E116,MIN(AX$20-E116,E$20*$K$20*$N$20,ROUNDUP((AX$20-E116)/$I$20,0)*$N$20),0))</f>
        <v>0</v>
      </c>
      <c r="AQ115">
        <f>+IF(F116&lt;MasterMenu!$I$36,0,IF(AY$20&gt;F116,MIN(AY$20-F116,F$20*$K$20*$N$20,ROUNDUP((AY$20-F116)/$I$20,0)*$N$20),0))</f>
        <v>0</v>
      </c>
      <c r="AR115">
        <f>+IF(G116&lt;MasterMenu!$I$36,0,IF(AZ$20&gt;G116,MIN(AZ$20-G116,G$20*$K$20*$N$20,ROUNDUP((AZ$20-G116)/$I$20,0)*$N$20),0))</f>
        <v>0</v>
      </c>
    </row>
    <row r="116" spans="1:44" x14ac:dyDescent="0.25">
      <c r="A116" s="4" t="s">
        <v>8</v>
      </c>
      <c r="B116" s="164">
        <f t="shared" ref="B116:G116" si="45">+MIN(2800-B110,(AM$23))</f>
        <v>0</v>
      </c>
      <c r="C116" s="168">
        <f t="shared" si="45"/>
        <v>0</v>
      </c>
      <c r="D116" s="168">
        <f t="shared" si="45"/>
        <v>0</v>
      </c>
      <c r="E116" s="168">
        <f t="shared" si="45"/>
        <v>0</v>
      </c>
      <c r="F116" s="168">
        <f t="shared" si="45"/>
        <v>0</v>
      </c>
      <c r="G116" s="168">
        <f t="shared" si="45"/>
        <v>0</v>
      </c>
      <c r="H116" s="169">
        <f>SUM(B116:G116)</f>
        <v>0</v>
      </c>
      <c r="I116" s="402">
        <f>+MIN(MasterMenu!$I$35,H118)</f>
        <v>0</v>
      </c>
      <c r="J116" s="5" t="s">
        <v>160</v>
      </c>
      <c r="K116" s="5"/>
      <c r="AM116">
        <f>+IF(B116&lt;MasterMenu!$I$36,0,IF(AU$21&gt;B116,MIN(AU$21-B116,B$21*$K$21*$N$21,ROUNDUP((AU$21-B116)/$I$21,0)*$N$21),0))</f>
        <v>0</v>
      </c>
      <c r="AN116">
        <f>+IF(C116&lt;MasterMenu!$I$36,0,IF(AV$21&gt;C116,MIN(AV$21-C116,C$21*$K$21*$N$21,ROUNDUP((AV$21-C116)/$I$21,0)*$N$21),0))</f>
        <v>0</v>
      </c>
      <c r="AO116">
        <f>+IF(D116&lt;MasterMenu!$I$36,0,IF(AW$21&gt;D116,MIN(AW$21-D116,D$21*$K$21*$N$21,ROUNDUP((AW$21-D116)/$I$21,0)*$N$21),0))</f>
        <v>0</v>
      </c>
      <c r="AP116">
        <f>+IF(E116&lt;MasterMenu!$I$36,0,IF(AX$21&gt;E116,MIN(AX$21-E116,E$21*$K$21*$N$21,ROUNDUP((AX$21-E116)/$I$21,0)*$N$21),0))</f>
        <v>0</v>
      </c>
      <c r="AQ116">
        <f>+IF(F116&lt;MasterMenu!$I$36,0,IF(AY$21&gt;F116,MIN(AY$21-F116,F$21*$K$21*$N$21,ROUNDUP((AY$21-F116)/$I$21,0)*$N$21),0))</f>
        <v>0</v>
      </c>
      <c r="AR116">
        <f>+IF(G116&lt;MasterMenu!$I$36,0,IF(AZ$21&gt;G116,MIN(AZ$21-G116,G$21*$K$21*$N$21,ROUNDUP((AZ$21-G116)/$I$21,0)*$N$21),0))</f>
        <v>0</v>
      </c>
    </row>
    <row r="117" spans="1:44" x14ac:dyDescent="0.25">
      <c r="A117" s="4" t="s">
        <v>9</v>
      </c>
      <c r="B117" s="183">
        <f t="shared" ref="B117:G117" si="46">+IF(B116=0,AE$23,AM118)</f>
        <v>0</v>
      </c>
      <c r="C117" s="185">
        <f t="shared" si="46"/>
        <v>0</v>
      </c>
      <c r="D117" s="185">
        <f t="shared" si="46"/>
        <v>0</v>
      </c>
      <c r="E117" s="185">
        <f t="shared" si="46"/>
        <v>0</v>
      </c>
      <c r="F117" s="185">
        <f t="shared" si="46"/>
        <v>0</v>
      </c>
      <c r="G117" s="185">
        <f t="shared" si="46"/>
        <v>0</v>
      </c>
      <c r="H117" s="185">
        <f t="shared" ref="H117:H118" si="47">SUM(B117:G117)</f>
        <v>0</v>
      </c>
      <c r="I117" s="403"/>
      <c r="R117" s="170"/>
      <c r="AM117">
        <f>+IF(B116&lt;MasterMenu!$I$36,0,IF(AU$22&gt;B116,MIN(AU$22-B116,B$22*$K$22*$N$22,ROUNDUP((AU$22-B116)/$I$22,0)*$N$22),0))</f>
        <v>0</v>
      </c>
      <c r="AN117">
        <f>+IF(C116&lt;MasterMenu!$I$36,0,IF(AV$22&gt;C116,MIN(AV$22-C116,C$22*$K$22*$N$22,ROUNDUP((AV$22-C116)/$I$22,0)*$N$22),0))</f>
        <v>0</v>
      </c>
      <c r="AO117">
        <f>+IF(D116&lt;MasterMenu!$I$36,0,IF(AW$22&gt;D116,MIN(AW$22-D116,D$22*$K$22*$N$22,ROUNDUP((AW$22-D116)/$I$22,0)*$N$22),0))</f>
        <v>0</v>
      </c>
      <c r="AP117">
        <f>+IF(E116&lt;MasterMenu!$I$36,0,IF(AX$22&gt;E116,MIN(AX$22-E116,E$22*$K$22*$N$22,ROUNDUP((AX$22-E116)/$I$22,0)*$N$22),0))</f>
        <v>0</v>
      </c>
      <c r="AQ117">
        <f>+IF(F116&lt;MasterMenu!$I$36,0,IF(AY$22&gt;F116,MIN(AY$22-F116,F$22*$K$22*$N$22,ROUNDUP((AY$22-F116)/$I$22,0)*$N$22),0))</f>
        <v>0</v>
      </c>
      <c r="AR117">
        <f>+IF(G116&lt;MasterMenu!$I$36,0,IF(AZ$22&gt;G116,MIN(AZ$22-G116,G$22*$K$22*$N$22,ROUNDUP((AZ$22-G116)/$I$22,0)*$N$22),0))</f>
        <v>0</v>
      </c>
    </row>
    <row r="118" spans="1:44" ht="16.5" thickBot="1" x14ac:dyDescent="0.3">
      <c r="A118" s="6" t="s">
        <v>13</v>
      </c>
      <c r="B118" s="234">
        <f>+MAX(0,MIN(MasterMenu!$I$34,B117+B116))</f>
        <v>0</v>
      </c>
      <c r="C118" s="236">
        <f>+MAX(0,MIN(MasterMenu!$I$34,C117+C116))</f>
        <v>0</v>
      </c>
      <c r="D118" s="236">
        <f>+MAX(0,MIN(MasterMenu!$I$34,D117+D116))</f>
        <v>0</v>
      </c>
      <c r="E118" s="236">
        <f>+MAX(0,MIN(MasterMenu!$I$34,E117+E116))</f>
        <v>0</v>
      </c>
      <c r="F118" s="236">
        <f>+MAX(0,MIN(MasterMenu!$I$34,F117+F116))</f>
        <v>0</v>
      </c>
      <c r="G118" s="236">
        <f>+MAX(0,MIN(MasterMenu!$I$34,G117+G116))</f>
        <v>0</v>
      </c>
      <c r="H118" s="236">
        <f t="shared" si="47"/>
        <v>0</v>
      </c>
      <c r="I118" s="404"/>
      <c r="AM118">
        <f>SUM(AM111:AM117)</f>
        <v>0</v>
      </c>
      <c r="AN118">
        <f t="shared" ref="AN118:AR118" si="48">SUM(AN111:AN117)</f>
        <v>0</v>
      </c>
      <c r="AO118">
        <f t="shared" si="48"/>
        <v>0</v>
      </c>
      <c r="AP118">
        <f t="shared" si="48"/>
        <v>0</v>
      </c>
      <c r="AQ118">
        <f t="shared" si="48"/>
        <v>0</v>
      </c>
      <c r="AR118">
        <f t="shared" si="48"/>
        <v>0</v>
      </c>
    </row>
    <row r="119" spans="1:44" ht="16.5" thickBot="1" x14ac:dyDescent="0.3">
      <c r="A119" s="140" t="s">
        <v>13</v>
      </c>
      <c r="B119" s="237">
        <f>+MIN(B118+B114,MasterMenu!$I$19)</f>
        <v>0</v>
      </c>
      <c r="C119" s="238">
        <f>+MIN(C118+C114,MasterMenu!$I$19)</f>
        <v>0</v>
      </c>
      <c r="D119" s="238">
        <f>+MIN(D118+D114,MasterMenu!$I$19)</f>
        <v>0</v>
      </c>
      <c r="E119" s="238">
        <f>+MIN(E118+E114,MasterMenu!$I$19)</f>
        <v>0</v>
      </c>
      <c r="F119" s="238">
        <f>+MIN(F118+F114,MasterMenu!$I$19)</f>
        <v>0</v>
      </c>
      <c r="G119" s="238">
        <f>+MIN(G118+G114,MasterMenu!$I$19)</f>
        <v>0</v>
      </c>
      <c r="H119" s="239">
        <f>SUM(B119:G119)</f>
        <v>0</v>
      </c>
      <c r="I119" s="233">
        <f>+MIN(H119,MasterMenu!$I$20)</f>
        <v>0</v>
      </c>
    </row>
    <row r="120" spans="1:44" x14ac:dyDescent="0.25">
      <c r="A120" s="140"/>
      <c r="B120" s="189"/>
      <c r="C120" s="190"/>
      <c r="D120" s="190"/>
      <c r="E120" s="190"/>
      <c r="F120" s="190"/>
      <c r="G120" s="189"/>
      <c r="H120" s="193" t="s">
        <v>131</v>
      </c>
      <c r="I120" s="240">
        <f>+Totalmedcosts+TotalRXCost</f>
        <v>0</v>
      </c>
    </row>
    <row r="121" spans="1:44" x14ac:dyDescent="0.25">
      <c r="A121" s="140"/>
      <c r="B121" s="189"/>
      <c r="C121" s="190"/>
      <c r="D121" s="190"/>
      <c r="E121" s="190"/>
      <c r="F121" s="190"/>
      <c r="G121" s="189"/>
      <c r="H121" s="193" t="s">
        <v>132</v>
      </c>
      <c r="I121" s="241">
        <f>+MIN(MasterMenu!I$20,I119)</f>
        <v>0</v>
      </c>
      <c r="J121" s="231">
        <f>MasterMenu!I$20</f>
        <v>6000</v>
      </c>
      <c r="L121" t="str">
        <f>+IF(I121&gt;J121,"Error","ok")</f>
        <v>ok</v>
      </c>
    </row>
    <row r="122" spans="1:44" ht="16.5" thickBot="1" x14ac:dyDescent="0.3">
      <c r="A122" s="140"/>
      <c r="B122" s="194"/>
      <c r="C122" s="195"/>
      <c r="D122" s="195"/>
      <c r="E122" s="195"/>
      <c r="F122" s="195"/>
      <c r="G122" s="194"/>
      <c r="H122" s="196" t="s">
        <v>133</v>
      </c>
      <c r="I122" s="242">
        <f>+I120-I121</f>
        <v>0</v>
      </c>
    </row>
    <row r="123" spans="1:44" x14ac:dyDescent="0.25">
      <c r="A123" s="140"/>
      <c r="B123" s="94"/>
      <c r="C123" s="94"/>
      <c r="D123" s="94"/>
      <c r="E123" s="94"/>
      <c r="F123" s="94"/>
      <c r="G123" s="94"/>
      <c r="H123" s="265"/>
      <c r="I123" s="94"/>
      <c r="J123" s="104"/>
      <c r="K123" s="104"/>
    </row>
    <row r="124" spans="1:44" ht="16.5" thickBot="1" x14ac:dyDescent="0.3"/>
    <row r="125" spans="1:44" ht="36" x14ac:dyDescent="0.4">
      <c r="A125" s="250" t="str">
        <f>CONCATENATE("Plan ",MasterMenu!J$1)</f>
        <v>Plan 6</v>
      </c>
      <c r="B125" s="405" t="str">
        <f>+MasterMenu!J2</f>
        <v>80% L $30</v>
      </c>
      <c r="C125" s="406"/>
      <c r="D125" s="406"/>
      <c r="E125" s="406"/>
      <c r="F125" s="406"/>
      <c r="G125" s="406"/>
      <c r="H125" s="9" t="s">
        <v>14</v>
      </c>
      <c r="I125" s="10" t="s">
        <v>93</v>
      </c>
    </row>
    <row r="126" spans="1:44" x14ac:dyDescent="0.25">
      <c r="A126" s="140" t="s">
        <v>129</v>
      </c>
      <c r="B126" s="14"/>
      <c r="C126" s="15"/>
      <c r="D126" s="15"/>
      <c r="E126" s="15"/>
      <c r="F126" s="15"/>
      <c r="G126" s="15"/>
      <c r="H126" s="15"/>
      <c r="I126" s="16"/>
      <c r="M126" s="80"/>
    </row>
    <row r="127" spans="1:44" x14ac:dyDescent="0.25">
      <c r="A127" s="4" t="s">
        <v>8</v>
      </c>
      <c r="B127" s="11">
        <f>+MIN(SUMPRODUCT(B$7:B$10,$I$7:$I$10)-EREE*MasterMenu!$J$30,MasterMenu!$J$21)</f>
        <v>0</v>
      </c>
      <c r="C127" s="12">
        <f>+MIN(SUMPRODUCT(C$7:C$10,$I$7:$I$10)-ERSP*MasterMenu!$J$30,MasterMenu!$J$21)</f>
        <v>0</v>
      </c>
      <c r="D127" s="12">
        <f>+MIN(SUMPRODUCT(D$7:D$10,$I$7:$I$10)-_ERC1*MasterMenu!$J$30,MasterMenu!$J$21)</f>
        <v>0</v>
      </c>
      <c r="E127" s="12">
        <f>+MIN(SUMPRODUCT(E$7:E$10,$I$7:$I$10)-_ERC2*MasterMenu!$J$30,MasterMenu!$J$21)</f>
        <v>0</v>
      </c>
      <c r="F127" s="12">
        <f>+MIN(SUMPRODUCT(F$7:F$10,$I$7:$I$10)-_ERC3*MasterMenu!$J$30,MasterMenu!$J$21)</f>
        <v>0</v>
      </c>
      <c r="G127" s="12">
        <f>+MIN(SUMPRODUCT(G$7:G$10,$I$7:$I$10)-_ERC4*MasterMenu!$J$30,MasterMenu!$J$21)</f>
        <v>0</v>
      </c>
      <c r="H127" s="12">
        <f>SUM(B127:G127)</f>
        <v>0</v>
      </c>
      <c r="I127" s="13">
        <f>MIN(MasterMenu!J$22,H127)</f>
        <v>0</v>
      </c>
      <c r="M127" s="80"/>
    </row>
    <row r="128" spans="1:44" x14ac:dyDescent="0.25">
      <c r="A128" s="4" t="s">
        <v>9</v>
      </c>
      <c r="B128" s="11">
        <f>+HWCEE*MasterMenu!$J$26+EREE*MasterMenu!$J$30+TMEE*MasterMenu!$J$32+(_OVEE+MAX(B5-3,0))*MasterMenu!$J$27</f>
        <v>0</v>
      </c>
      <c r="C128" s="12">
        <f>+HWCSP*MasterMenu!$J$26+ERSP*MasterMenu!$J$30+TMSP*MasterMenu!$J$32+(_OVSP+MAX(C5-3,0))*MasterMenu!$J$27</f>
        <v>0</v>
      </c>
      <c r="D128" s="12">
        <f>+HWCC1*MasterMenu!$J$26+_ERC1*MasterMenu!$J$30+_TMC1*MasterMenu!$J$32+(_OVCH1+MAX(D5-3,0))*MasterMenu!$J$27</f>
        <v>0</v>
      </c>
      <c r="E128" s="12">
        <f>+HWCC2*MasterMenu!$J$26+_ERC2*MasterMenu!$J$30+_TMC2*MasterMenu!$J$32+(_OVCH2+MAX(E5-3,0))*MasterMenu!$J$27</f>
        <v>0</v>
      </c>
      <c r="F128" s="12">
        <f>+HWCC3*MasterMenu!$J$26+_ERC3*MasterMenu!$J$30+_TMC3*MasterMenu!$J$32+(_OVCH3+MAX(F5-3,0))*MasterMenu!$J$27</f>
        <v>0</v>
      </c>
      <c r="G128" s="12">
        <f>+HWCC4*MasterMenu!$J$26+_ERC4*MasterMenu!$J$30+_TMC4*MasterMenu!$J$32+(_OVCH4+MAX(G5-3,0))*MasterMenu!$J$27</f>
        <v>0</v>
      </c>
      <c r="H128" s="12">
        <f>SUM(B128:G128)</f>
        <v>0</v>
      </c>
      <c r="I128" s="407">
        <f>+MIN(H130,MasterMenu!J$24)</f>
        <v>0</v>
      </c>
      <c r="M128" s="80"/>
    </row>
    <row r="129" spans="1:44" x14ac:dyDescent="0.25">
      <c r="A129" s="4" t="s">
        <v>10</v>
      </c>
      <c r="B129" s="11">
        <f>+(SUMPRODUCT(B$7:B$10,$I$7:$I$10)-B127-EREE*MasterMenu!$J$30)*MasterMenu!$J$28</f>
        <v>0</v>
      </c>
      <c r="C129" s="12">
        <f>+(SUMPRODUCT(C$7:C$10,$I$7:$I$10)-C127-ERSP*MasterMenu!$J$30)*MasterMenu!$J$28</f>
        <v>0</v>
      </c>
      <c r="D129" s="12">
        <f>+(SUMPRODUCT(D$7:D$10,$I$7:$I$10)-D127-_ERC1*MasterMenu!$J$30)*MasterMenu!$J$28</f>
        <v>0</v>
      </c>
      <c r="E129" s="12">
        <f>+(SUMPRODUCT(E$7:E$10,$I$7:$I$10)-E127-_ERC2*MasterMenu!$J$30)*MasterMenu!$J$28</f>
        <v>0</v>
      </c>
      <c r="F129" s="12">
        <f>+(SUMPRODUCT(F$7:F$10,$I$7:$I$10)-F127-_ERC3*MasterMenu!$J$30)*MasterMenu!$J$28</f>
        <v>0</v>
      </c>
      <c r="G129" s="12">
        <f>+(SUMPRODUCT(G$7:G$10,$I$7:$I$10)-G127-_ERC4*MasterMenu!$J$30)*MasterMenu!$J$28</f>
        <v>0</v>
      </c>
      <c r="H129" s="12">
        <f>SUM(B129:G129)</f>
        <v>0</v>
      </c>
      <c r="I129" s="407"/>
      <c r="M129" s="80"/>
    </row>
    <row r="130" spans="1:44" x14ac:dyDescent="0.25">
      <c r="A130" s="6" t="s">
        <v>12</v>
      </c>
      <c r="B130" s="17">
        <f>+MIN((+B129+B128),MasterMenu!$J$23)</f>
        <v>0</v>
      </c>
      <c r="C130" s="18">
        <f>+MIN((+C129+C128),MasterMenu!$J$23)</f>
        <v>0</v>
      </c>
      <c r="D130" s="18">
        <f>+MIN((+D129+D128),MasterMenu!$J$23)</f>
        <v>0</v>
      </c>
      <c r="E130" s="18">
        <f>+MIN((+E129+E128),MasterMenu!$J$23)</f>
        <v>0</v>
      </c>
      <c r="F130" s="18">
        <f>+MIN((+F129+F128),MasterMenu!$J$23)</f>
        <v>0</v>
      </c>
      <c r="G130" s="18">
        <f>+MIN((+G129+G128),MasterMenu!$J$23)</f>
        <v>0</v>
      </c>
      <c r="H130" s="12">
        <f>SUM(B130:G130)</f>
        <v>0</v>
      </c>
      <c r="I130" s="407"/>
    </row>
    <row r="131" spans="1:44" ht="16.5" thickBot="1" x14ac:dyDescent="0.3">
      <c r="A131" s="6" t="s">
        <v>13</v>
      </c>
      <c r="B131" s="17">
        <f>+MIN((B130+B127),MasterMenu!$J$19)</f>
        <v>0</v>
      </c>
      <c r="C131" s="18">
        <f>+MIN((C130+C127),MasterMenu!$J$19)</f>
        <v>0</v>
      </c>
      <c r="D131" s="18">
        <f>+MIN((D130+D127),MasterMenu!$J$19)</f>
        <v>0</v>
      </c>
      <c r="E131" s="18">
        <f>+MIN((E130+E127),MasterMenu!$J$19)</f>
        <v>0</v>
      </c>
      <c r="F131" s="18">
        <f>+MIN((F130+F127),MasterMenu!$J$19)</f>
        <v>0</v>
      </c>
      <c r="G131" s="18">
        <f>+MIN((G130+G127),MasterMenu!$J$19)</f>
        <v>0</v>
      </c>
      <c r="H131" s="12">
        <f>SUM(B131:G131)</f>
        <v>0</v>
      </c>
      <c r="I131" s="13">
        <f>+MIN((I127+I128),MasterMenu!J$20,Totalmedcosts)</f>
        <v>0</v>
      </c>
      <c r="J131" s="231">
        <f>MasterMenu!J$20</f>
        <v>8000</v>
      </c>
      <c r="L131" t="str">
        <f>+IF(I131&gt;J131,"Error","ok")</f>
        <v>ok</v>
      </c>
    </row>
    <row r="132" spans="1:44" x14ac:dyDescent="0.25">
      <c r="A132" s="140" t="s">
        <v>130</v>
      </c>
      <c r="B132" s="408"/>
      <c r="C132" s="409"/>
      <c r="D132" s="409"/>
      <c r="E132" s="409"/>
      <c r="F132" s="409"/>
      <c r="G132" s="409"/>
      <c r="H132" s="409"/>
      <c r="I132" s="410"/>
    </row>
    <row r="133" spans="1:44" x14ac:dyDescent="0.25">
      <c r="A133" s="4" t="s">
        <v>8</v>
      </c>
      <c r="B133" s="11">
        <f>+MIN(MasterMenu!$J$36,(AM$18+AM$21+AM$22))</f>
        <v>0</v>
      </c>
      <c r="C133" s="12">
        <f>+MIN(MasterMenu!$J$36,(AN$18+AN$21+AN$22))</f>
        <v>0</v>
      </c>
      <c r="D133" s="12">
        <f>+MIN(MasterMenu!$J$36,(AO$18+AO$21+AO$22))</f>
        <v>0</v>
      </c>
      <c r="E133" s="12">
        <f>+MIN(MasterMenu!$J$36,(AP$18+AP$21+AP$22))</f>
        <v>0</v>
      </c>
      <c r="F133" s="12">
        <f>+MIN(MasterMenu!$J$36,(AQ$18+AQ$21+AQ$22))</f>
        <v>0</v>
      </c>
      <c r="G133" s="12">
        <f>+MIN(MasterMenu!$J$36,(AR$18+AR$21+AR$22))</f>
        <v>0</v>
      </c>
      <c r="H133" s="12">
        <f>SUM(B133:G133)</f>
        <v>0</v>
      </c>
      <c r="I133" s="226">
        <f>+MIN(MasterMenu!$J$37,TotalRXCost,H133)</f>
        <v>0</v>
      </c>
    </row>
    <row r="134" spans="1:44" x14ac:dyDescent="0.25">
      <c r="A134" s="4" t="s">
        <v>9</v>
      </c>
      <c r="B134" s="11">
        <f>W$23</f>
        <v>0</v>
      </c>
      <c r="C134" s="12">
        <f t="shared" ref="C134:G134" si="49">X$23</f>
        <v>0</v>
      </c>
      <c r="D134" s="12">
        <f t="shared" si="49"/>
        <v>0</v>
      </c>
      <c r="E134" s="12">
        <f t="shared" si="49"/>
        <v>0</v>
      </c>
      <c r="F134" s="12">
        <f t="shared" si="49"/>
        <v>0</v>
      </c>
      <c r="G134" s="12">
        <f t="shared" si="49"/>
        <v>0</v>
      </c>
      <c r="H134" s="12">
        <f>SUM(B134:G134)</f>
        <v>0</v>
      </c>
      <c r="I134" s="400">
        <f>+MIN(MasterMenu!J35-I133,TotalRXCost,H134)</f>
        <v>0</v>
      </c>
    </row>
    <row r="135" spans="1:44" ht="16.5" thickBot="1" x14ac:dyDescent="0.3">
      <c r="A135" s="6" t="s">
        <v>13</v>
      </c>
      <c r="B135" s="11">
        <f>+MIN(MasterMenu!$J$34,B134+B133)</f>
        <v>0</v>
      </c>
      <c r="C135" s="12">
        <f>+MIN(MasterMenu!$J$34,C134+C133)</f>
        <v>0</v>
      </c>
      <c r="D135" s="12">
        <f>+MIN(MasterMenu!$J$34,D134+D133)</f>
        <v>0</v>
      </c>
      <c r="E135" s="12">
        <f>+MIN(MasterMenu!$J$34,E134+E133)</f>
        <v>0</v>
      </c>
      <c r="F135" s="12">
        <f>+MIN(MasterMenu!$J$34,F134+F133)</f>
        <v>0</v>
      </c>
      <c r="G135" s="12">
        <f>+MIN(MasterMenu!$J$34,G134+G133)</f>
        <v>0</v>
      </c>
      <c r="H135" s="12">
        <f>SUM(B135:G135)</f>
        <v>0</v>
      </c>
      <c r="I135" s="401" t="e">
        <f>+MIN(MasterMenu!#REF!,TotalRXCost,H137)</f>
        <v>#REF!</v>
      </c>
      <c r="J135" s="231">
        <f>+MasterMenu!J$35</f>
        <v>3500</v>
      </c>
      <c r="L135" t="str">
        <f>+IF(I134&gt;J135+I133,"Error","ok")</f>
        <v>ok</v>
      </c>
    </row>
    <row r="136" spans="1:44" x14ac:dyDescent="0.25">
      <c r="A136" s="140"/>
      <c r="B136" s="145"/>
      <c r="C136" s="139"/>
      <c r="D136" s="139"/>
      <c r="E136" s="139"/>
      <c r="F136" s="139"/>
      <c r="G136" s="142"/>
      <c r="H136" s="143" t="s">
        <v>131</v>
      </c>
      <c r="I136" s="144">
        <f>+Totalmedcosts+TotalRXCost</f>
        <v>0</v>
      </c>
    </row>
    <row r="137" spans="1:44" x14ac:dyDescent="0.25">
      <c r="A137" s="140"/>
      <c r="B137" s="145"/>
      <c r="C137" s="139"/>
      <c r="D137" s="139"/>
      <c r="E137" s="139"/>
      <c r="F137" s="139"/>
      <c r="G137" s="145"/>
      <c r="H137" s="141" t="s">
        <v>132</v>
      </c>
      <c r="I137" s="13">
        <f>+I133+I131+I134</f>
        <v>0</v>
      </c>
      <c r="J137" s="231" t="str">
        <f>+IF(I137&gt;J131+J135,"ERROR","ok")</f>
        <v>ok</v>
      </c>
    </row>
    <row r="138" spans="1:44" ht="16.5" thickBot="1" x14ac:dyDescent="0.3">
      <c r="A138" s="140"/>
      <c r="B138" s="146"/>
      <c r="C138" s="148"/>
      <c r="D138" s="148"/>
      <c r="E138" s="148"/>
      <c r="F138" s="148"/>
      <c r="G138" s="146"/>
      <c r="H138" s="147" t="s">
        <v>133</v>
      </c>
      <c r="I138" s="19">
        <f>+I136-I137</f>
        <v>0</v>
      </c>
    </row>
    <row r="139" spans="1:44" ht="16.5" thickBot="1" x14ac:dyDescent="0.3"/>
    <row r="140" spans="1:44" ht="36" x14ac:dyDescent="0.4">
      <c r="A140" s="250" t="str">
        <f>CONCATENATE("Plan ",MasterMenu!K$1)</f>
        <v>Plan 7</v>
      </c>
      <c r="B140" s="394" t="str">
        <f>MasterMenu!K2</f>
        <v>HSA $3000</v>
      </c>
      <c r="C140" s="395"/>
      <c r="D140" s="395"/>
      <c r="E140" s="395"/>
      <c r="F140" s="395"/>
      <c r="G140" s="395"/>
      <c r="H140" s="178" t="s">
        <v>14</v>
      </c>
      <c r="I140" s="179" t="s">
        <v>93</v>
      </c>
    </row>
    <row r="141" spans="1:44" x14ac:dyDescent="0.25">
      <c r="A141" s="140" t="s">
        <v>129</v>
      </c>
      <c r="B141" s="180"/>
      <c r="C141" s="181"/>
      <c r="D141" s="181"/>
      <c r="E141" s="181"/>
      <c r="F141" s="181"/>
      <c r="G141" s="181"/>
      <c r="H141" s="181"/>
      <c r="I141" s="182"/>
      <c r="M141" s="80"/>
    </row>
    <row r="142" spans="1:44" x14ac:dyDescent="0.25">
      <c r="A142" s="4" t="s">
        <v>8</v>
      </c>
      <c r="B142" s="183">
        <f>+MIN(SUMPRODUCT(B$3:B$11,$I$3:$I$11)-EREE*MasterMenu!$K$30,MasterMenu!$K$21)</f>
        <v>0</v>
      </c>
      <c r="C142" s="185">
        <f>+MIN(SUMPRODUCT(C$3:C$11,$I$3:$I$11)-ERSP*MasterMenu!$K$30,MasterMenu!$K$21)</f>
        <v>0</v>
      </c>
      <c r="D142" s="185">
        <f>+MIN(SUMPRODUCT(D$3:D$11,$I$3:$I$11)-_ERC1*MasterMenu!$K$30,MasterMenu!$K$21)</f>
        <v>0</v>
      </c>
      <c r="E142" s="185">
        <f>+MIN(SUMPRODUCT(E$3:E$11,$I$3:$I$11)-_ERC2*MasterMenu!$K$30,MasterMenu!$K$21)</f>
        <v>0</v>
      </c>
      <c r="F142" s="185">
        <f>+MIN(SUMPRODUCT(F$3:F$11,$I$3:$I$11)-_ERC3*MasterMenu!$K$30,MasterMenu!$K$21)</f>
        <v>0</v>
      </c>
      <c r="G142" s="185">
        <f>+MIN(SUMPRODUCT(G$3:G$11,$I$3:$I$11)-_ERC4*MasterMenu!$K$30,MasterMenu!$K$21)</f>
        <v>0</v>
      </c>
      <c r="H142" s="185">
        <f>SUM(B142:G142)</f>
        <v>0</v>
      </c>
      <c r="I142" s="186">
        <f>MIN(MasterMenu!K$22,H142)</f>
        <v>0</v>
      </c>
      <c r="M142" s="80"/>
    </row>
    <row r="143" spans="1:44" x14ac:dyDescent="0.25">
      <c r="A143" s="4" t="s">
        <v>9</v>
      </c>
      <c r="B143" s="183"/>
      <c r="C143" s="184"/>
      <c r="D143" s="184"/>
      <c r="E143" s="184"/>
      <c r="F143" s="185"/>
      <c r="G143" s="185"/>
      <c r="H143" s="185">
        <f>SUM(B143:G143)</f>
        <v>0</v>
      </c>
      <c r="I143" s="396">
        <f>+MIN(H145,MasterMenu!K$24)</f>
        <v>0</v>
      </c>
      <c r="J143" s="227" t="s">
        <v>148</v>
      </c>
      <c r="K143" s="227"/>
      <c r="M143" s="80"/>
      <c r="AM143">
        <f>+IF(B148&lt;MasterMenu!$I$36,0,IF(AU$16&gt;B148,MIN(AU$16-B148,B$16*$K$16*$N$16,ROUNDUP((AU$16-B148)/$I$16,0)*$N$16),0))</f>
        <v>0</v>
      </c>
      <c r="AN143">
        <f>+IF(C148&lt;MasterMenu!$I$36,0,IF(AV$16&gt;C148,MIN(AV$16-C148,C$16*$K$16*$N$16,ROUNDUP((AV$16-C148)/$I$16,0)*$N$16),0))</f>
        <v>0</v>
      </c>
      <c r="AO143">
        <f>+IF(D148&lt;MasterMenu!$I$36,0,IF(AW$16&gt;D148,MIN(AW$16-D148,D$16*$K$16*$N$16,ROUNDUP((AW$16-D148)/$I$16,0)*$N$16),0))</f>
        <v>0</v>
      </c>
      <c r="AP143">
        <f>+IF(E148&lt;MasterMenu!$I$36,0,IF(AX$16&gt;E148,MIN(AX$16-E148,E$16*$K$16*$N$16,ROUNDUP((AX$16-E148)/$I$16,0)*$N$16),0))</f>
        <v>0</v>
      </c>
      <c r="AQ143">
        <f>+IF(F148&lt;MasterMenu!$I$36,0,IF(AY$16&gt;F148,MIN(AY$16-F148,F$16*$K$16*$N$16,ROUNDUP((AY$16-F148)/$I$16,0)*$N$16),0))</f>
        <v>0</v>
      </c>
      <c r="AR143">
        <f>+IF(G148&lt;MasterMenu!$I$36,0,IF(AZ$16&gt;G148,MIN(AZ$16-G148,G$16*$K$16*$N$16,ROUNDUP((AZ$16-G148)/$I$16,0)*$N$16),0))</f>
        <v>0</v>
      </c>
    </row>
    <row r="144" spans="1:44" x14ac:dyDescent="0.25">
      <c r="A144" s="4" t="s">
        <v>10</v>
      </c>
      <c r="B144" s="183">
        <f>+MAX(0,(SUMPRODUCT(B$3:B$11,$I$3:$I$11)-B142-EREE*MasterMenu!$K$30)*MasterMenu!$K$28)</f>
        <v>0</v>
      </c>
      <c r="C144" s="184">
        <f>+MAX(0,(SUMPRODUCT(C$3:C$11,$I$3:$I$11)-C142-ERSP*MasterMenu!$K$30)*MasterMenu!$K$28)</f>
        <v>0</v>
      </c>
      <c r="D144" s="184">
        <f>+MAX(0,(SUMPRODUCT(D$3:D$11,$I$3:$I$11)-D142-_ERC1*MasterMenu!$K$30)*MasterMenu!$K$28)</f>
        <v>0</v>
      </c>
      <c r="E144" s="184">
        <f>+MAX(0,(SUMPRODUCT(E$3:E$11,$I$3:$I$11)-E142-_ERC2*MasterMenu!$K$30)*MasterMenu!$K$28)</f>
        <v>0</v>
      </c>
      <c r="F144" s="184">
        <f>+MAX(0,(SUMPRODUCT(F$3:F$11,$I$3:$I$11)-F142-_ERC3*MasterMenu!$K$30)*MasterMenu!$K$28)</f>
        <v>0</v>
      </c>
      <c r="G144" s="184">
        <f>+MAX(0,(SUMPRODUCT(G$3:G$11,$I$3:$I$11)-G142-_ERC4*MasterMenu!$K$30)*MasterMenu!$K$28)</f>
        <v>0</v>
      </c>
      <c r="H144" s="185">
        <f>SUM(B144:G144)</f>
        <v>0</v>
      </c>
      <c r="I144" s="396"/>
      <c r="M144" s="80"/>
      <c r="AM144">
        <f>+IF(B148&lt;MasterMenu!$I$36,0,IF(AU$17&gt;B148,MIN(AU$17-B148,B$17*$K$17*$N$17,ROUNDUP((AU$17-B148)/$I$17,0)*$N$17),0))</f>
        <v>0</v>
      </c>
      <c r="AN144">
        <f>+IF(C148&lt;MasterMenu!$I$36,0,IF(AV$17&gt;C148,MIN(AV$17-C148,C$17*$K$17*$N$17,ROUNDUP((AV$17-C148)/$I$17,0)*$N$17),0))</f>
        <v>0</v>
      </c>
      <c r="AO144">
        <f>+IF(D148&lt;MasterMenu!$I$36,0,IF(AW$17&gt;D148,MIN(AW$17-D148,D$17*$K$17*$N$17,ROUNDUP((AW$17-D148)/$I$17,0)*$N$17),0))</f>
        <v>0</v>
      </c>
      <c r="AP144">
        <f>+IF(E148&lt;MasterMenu!$I$36,0,IF(AX$17&gt;E148,MIN(AX$17-E148,E$17*$K$17*$N$17,ROUNDUP((AX$17-E148)/$I$17,0)*$N$17),0))</f>
        <v>0</v>
      </c>
      <c r="AQ144">
        <f>+IF(F148&lt;MasterMenu!$I$36,0,IF(AY$17&gt;F148,MIN(AY$17-F148,F$17*$K$17*$N$17,ROUNDUP((AY$17-F148)/$I$17,0)*$N$17),0))</f>
        <v>0</v>
      </c>
      <c r="AR144">
        <f>+IF(G148&lt;MasterMenu!$I$36,0,IF(AZ$17&gt;G148,MIN(AZ$17-G148,G$17*$K$17*$N$17,ROUNDUP((AZ$17-G148)/$I$17,0)*$N$17),0))</f>
        <v>0</v>
      </c>
    </row>
    <row r="145" spans="1:44" x14ac:dyDescent="0.25">
      <c r="A145" s="6" t="s">
        <v>12</v>
      </c>
      <c r="B145" s="187">
        <f>+MIN((+B144+B143),MasterMenu!$K$19-B142)</f>
        <v>0</v>
      </c>
      <c r="C145" s="188">
        <f>+MIN((+C144+C143),MasterMenu!$K$19-C142)</f>
        <v>0</v>
      </c>
      <c r="D145" s="188">
        <f>+MIN((+D144+D143),MasterMenu!$K$19-D142)</f>
        <v>0</v>
      </c>
      <c r="E145" s="188">
        <f>+MIN((+E144+E143),MasterMenu!$K$19-E142)</f>
        <v>0</v>
      </c>
      <c r="F145" s="188">
        <f>+MIN((+F144+F143),MasterMenu!$K$19-F142)</f>
        <v>0</v>
      </c>
      <c r="G145" s="188">
        <f>+MIN((+G144+G143),MasterMenu!$K$19-G142)</f>
        <v>0</v>
      </c>
      <c r="H145" s="185">
        <f>SUM(B145:G145)</f>
        <v>0</v>
      </c>
      <c r="I145" s="396"/>
      <c r="AM145">
        <f>+IF(B148&lt;MasterMenu!$I$36,0,IF(AU$18&gt;B148,MIN(AU$18-B148,B$18*$K$18*$N$18,ROUNDUP((AU$18-B148)/$I$18,0)*$N$18),0))</f>
        <v>0</v>
      </c>
      <c r="AN145">
        <f>+IF(C148&lt;MasterMenu!$I$36,0,IF(AV$18&gt;C148,MIN(AV$18-C148,C$18*$K$18*$N$18,ROUNDUP((AV$18-C148)/$I$18,0)*$N$18),0))</f>
        <v>0</v>
      </c>
      <c r="AO145">
        <f>+IF(D148&lt;MasterMenu!$I$36,0,IF(AW$18&gt;D148,MIN(AW$18-D148,D$18*$K$18*$N$18,ROUNDUP((AW$18-D148)/$I$18,0)*$N$18),0))</f>
        <v>0</v>
      </c>
      <c r="AP145">
        <f>+IF(E148&lt;MasterMenu!$I$36,0,IF(AX$18&gt;E148,MIN(AX$18-E148,E$18*$K$18*$N$18,ROUNDUP((AX$18-E148)/$I$18,0)*$N$18),0))</f>
        <v>0</v>
      </c>
      <c r="AQ145">
        <f>+IF(F148&lt;MasterMenu!$I$36,0,IF(AY$18&gt;F148,MIN(AY$18-F148,F$18*$K$18*$N$18,ROUNDUP((AY$18-F148)/$I$18,0)*$N$18),0))</f>
        <v>0</v>
      </c>
      <c r="AR145">
        <f>+IF(G148&lt;MasterMenu!$I$36,0,IF(AZ$18&gt;G148,MIN(AZ$18-G148,G$18*$K$18*$N$18,ROUNDUP((AZ$18-G148)/$I$18,0)*$N$18),0))</f>
        <v>0</v>
      </c>
    </row>
    <row r="146" spans="1:44" ht="16.5" thickBot="1" x14ac:dyDescent="0.3">
      <c r="A146" s="6" t="s">
        <v>13</v>
      </c>
      <c r="B146" s="187">
        <f>+MIN((B145+B142),MasterMenu!$K$19)</f>
        <v>0</v>
      </c>
      <c r="C146" s="188">
        <f>+MIN((C145+C142),MasterMenu!$K$19)</f>
        <v>0</v>
      </c>
      <c r="D146" s="188">
        <f>+MIN((D145+D142),MasterMenu!$K$19)</f>
        <v>0</v>
      </c>
      <c r="E146" s="188">
        <f>+MIN((E145+E142),MasterMenu!$K$19)</f>
        <v>0</v>
      </c>
      <c r="F146" s="188">
        <f>+MIN((F145+F142),MasterMenu!$K$19)</f>
        <v>0</v>
      </c>
      <c r="G146" s="188">
        <f>+MIN((G145+G142),MasterMenu!$K$19)</f>
        <v>0</v>
      </c>
      <c r="H146" s="185">
        <f>SUM(B146:G146)</f>
        <v>0</v>
      </c>
      <c r="I146" s="186">
        <f>+MIN((I142+I143),MasterMenu!K$20,H146,Totalmedcosts)</f>
        <v>0</v>
      </c>
      <c r="AM146">
        <f>+IF(B148&lt;MasterMenu!$I$36,0,IF(AU$19&gt;B148,MIN(AU$19-B148,B$19*$K$19*$N$19,ROUNDUP((AU$19-B148)/$I$19,0)*$N$19),0))</f>
        <v>0</v>
      </c>
      <c r="AN146">
        <f>+IF(C148&lt;MasterMenu!$I$36,0,IF(AV$19&gt;C148,MIN(AV$19-C148,C$19*$K$19*$N$19,ROUNDUP((AV$19-C148)/$I$19,0)*$N$19),0))</f>
        <v>0</v>
      </c>
      <c r="AO146">
        <f>+IF(D148&lt;MasterMenu!$I$36,0,IF(AW$19&gt;D148,MIN(AW$19-D148,D$19*$K$19*$N$19,ROUNDUP((AW$19-D148)/$I$19,0)*$N$19),0))</f>
        <v>0</v>
      </c>
      <c r="AP146">
        <f>+IF(E148&lt;MasterMenu!$I$36,0,IF(AX$19&gt;E148,MIN(AX$19-E148,E$19*$K$19*$N$19,ROUNDUP((AX$19-E148)/$I$19,0)*$N$19),0))</f>
        <v>0</v>
      </c>
      <c r="AQ146">
        <f>+IF(F148&lt;MasterMenu!$I$36,0,IF(AY$19&gt;F148,MIN(AY$19-F148,F$19*$K$19*$N$19,ROUNDUP((AY$19-F148)/$I$19,0)*$N$19),0))</f>
        <v>0</v>
      </c>
      <c r="AR146">
        <f>+IF(G148&lt;MasterMenu!$I$36,0,IF(AZ$19&gt;G148,MIN(AZ$19-G148,G$19*$K$19*$N$19,ROUNDUP((AZ$19-F148)/$I$19,0)*$N$19),0))</f>
        <v>0</v>
      </c>
    </row>
    <row r="147" spans="1:44" x14ac:dyDescent="0.25">
      <c r="A147" s="140" t="s">
        <v>130</v>
      </c>
      <c r="B147" s="397"/>
      <c r="C147" s="398"/>
      <c r="D147" s="398"/>
      <c r="E147" s="398"/>
      <c r="F147" s="398"/>
      <c r="G147" s="398"/>
      <c r="H147" s="398"/>
      <c r="I147" s="399"/>
      <c r="AM147">
        <f>+IF(B148&lt;MasterMenu!$I$36,0,IF(AU$20&gt;B148,MIN(AU$20-B148,B$20*$K$20*$N$20,ROUNDUP((AU$20-B148)/$I$20,0)*$N$20),0))</f>
        <v>0</v>
      </c>
      <c r="AN147">
        <f>+IF(C148&lt;MasterMenu!$I$36,0,IF(AV$20&gt;C148,MIN(AV$20-C148,C$20*$K$20*$N$20,ROUNDUP((AV$20-C$32)/$I$20,0)*$N$20),0))</f>
        <v>0</v>
      </c>
      <c r="AO147">
        <f>+IF(D148&lt;MasterMenu!$I$36,0,IF(AW$20&gt;D148,MIN(AW$20-D148,D$20*$K$20*$N$20,ROUNDUP((AW$20-D148)/$I$20,0)*$N$20),0))</f>
        <v>0</v>
      </c>
      <c r="AP147">
        <f>+IF(E148&lt;MasterMenu!$I$36,0,IF(AX$20&gt;E148,MIN(AX$20-E148,E$20*$K$20*$N$20,ROUNDUP((AX$20-E148)/$I$20,0)*$N$20),0))</f>
        <v>0</v>
      </c>
      <c r="AQ147">
        <f>+IF(F148&lt;MasterMenu!$I$36,0,IF(AY$20&gt;F148,MIN(AY$20-F148,F$20*$K$20*$N$20,ROUNDUP((AY$20-F148)/$I$20,0)*$N$20),0))</f>
        <v>0</v>
      </c>
      <c r="AR147">
        <f>+IF(G148&lt;MasterMenu!$I$36,0,IF(AZ$20&gt;G148,MIN(AZ$20-G148,G$20*$K$20*$N$20,ROUNDUP((AZ$20-G148)/$I$20,0)*$N$20),0))</f>
        <v>0</v>
      </c>
    </row>
    <row r="148" spans="1:44" x14ac:dyDescent="0.25">
      <c r="A148" s="4" t="s">
        <v>8</v>
      </c>
      <c r="B148" s="183">
        <f>+MIN(MasterMenu!$K$36-B142,(AM$23))</f>
        <v>0</v>
      </c>
      <c r="C148" s="185">
        <f>+MIN(MasterMenu!$K$36-C142,(AN$23))</f>
        <v>0</v>
      </c>
      <c r="D148" s="185">
        <f>+MIN(MasterMenu!$K$36-D142,(AO$23))</f>
        <v>0</v>
      </c>
      <c r="E148" s="185">
        <f>+MIN(MasterMenu!$K$36-E142,(AP$23))</f>
        <v>0</v>
      </c>
      <c r="F148" s="185">
        <f>+MIN(MasterMenu!$K$36-F142,(AQ$23))</f>
        <v>0</v>
      </c>
      <c r="G148" s="185">
        <f>+MIN(MasterMenu!$K$36-G142,(AR$23))</f>
        <v>0</v>
      </c>
      <c r="H148" s="185">
        <f>SUM(B148:G148)</f>
        <v>0</v>
      </c>
      <c r="I148" s="402">
        <f>+MIN(MasterMenu!$K$35,H150)</f>
        <v>0</v>
      </c>
      <c r="AM148">
        <f>+IF(B148&lt;MasterMenu!$I$36,0,IF(AU$21&gt;B148,MIN(AU$21-B148,B$21*$K$21*$N$21,ROUNDUP((AU$21-B148)/$I$21,0)*$N$21),0))</f>
        <v>0</v>
      </c>
      <c r="AN148">
        <f>+IF(C148&lt;MasterMenu!$I$36,0,IF(AV$21&gt;C148,MIN(AV$21-C148,C$21*$K$21*$N$21,ROUNDUP((AV$21-C148)/$I$21,0)*$N$21),0))</f>
        <v>0</v>
      </c>
      <c r="AO148">
        <f>+IF(D148&lt;MasterMenu!$I$36,0,IF(AW$21&gt;D148,MIN(AW$21-D148,D$21*$K$21*$N$21,ROUNDUP((AW$21-D148)/$I$21,0)*$N$21),0))</f>
        <v>0</v>
      </c>
      <c r="AP148">
        <f>+IF(E148&lt;MasterMenu!$I$36,0,IF(AX$21&gt;E148,MIN(AX$21-E148,E$21*$K$21*$N$21,ROUNDUP((AX$21-E148)/$I$21,0)*$N$21),0))</f>
        <v>0</v>
      </c>
      <c r="AQ148">
        <f>+IF(F148&lt;MasterMenu!$I$36,0,IF(AY$21&gt;F148,MIN(AY$21-F148,F$21*$K$21*$N$21,ROUNDUP((AY$21-F148)/$I$21,0)*$N$21),0))</f>
        <v>0</v>
      </c>
      <c r="AR148">
        <f>+IF(G148&lt;MasterMenu!$I$36,0,IF(AZ$21&gt;G148,MIN(AZ$21-G148,G$21*$K$21*$N$21,ROUNDUP((AZ$21-G148)/$I$21,0)*$N$21),0))</f>
        <v>0</v>
      </c>
    </row>
    <row r="149" spans="1:44" x14ac:dyDescent="0.25">
      <c r="A149" s="4" t="s">
        <v>9</v>
      </c>
      <c r="B149" s="183">
        <f t="shared" ref="B149" si="50">+IF(B148=0,AE$23,AM150)</f>
        <v>0</v>
      </c>
      <c r="C149" s="185">
        <f t="shared" ref="C149" si="51">+IF(C148=0,AF$23,AN150)</f>
        <v>0</v>
      </c>
      <c r="D149" s="185">
        <f t="shared" ref="D149" si="52">+IF(D148=0,AG$23,AO150)</f>
        <v>0</v>
      </c>
      <c r="E149" s="185">
        <f t="shared" ref="E149" si="53">+IF(E148=0,AH$23,AP150)</f>
        <v>0</v>
      </c>
      <c r="F149" s="185">
        <f t="shared" ref="F149" si="54">+IF(F148=0,AI$23,AQ150)</f>
        <v>0</v>
      </c>
      <c r="G149" s="185">
        <f t="shared" ref="G149" si="55">+IF(G148=0,AJ$23,AR150)</f>
        <v>0</v>
      </c>
      <c r="H149" s="185">
        <f t="shared" ref="H149:H150" si="56">SUM(B149:G149)</f>
        <v>0</v>
      </c>
      <c r="I149" s="403"/>
      <c r="AM149">
        <f>+IF(B148&lt;MasterMenu!$I$36,0,IF(AU$22&gt;B148,MIN(AU$22-B148,B$22*$K$22*$N$22,ROUNDUP((AU$22-B148)/$I$22,0)*$N$22),0))</f>
        <v>0</v>
      </c>
      <c r="AN149">
        <f>+IF(C148&lt;MasterMenu!$I$36,0,IF(AV$22&gt;C148,MIN(AV$22-C148,C$22*$K$22*$N$22,ROUNDUP((AV$22-C148)/$I$22,0)*$N$22),0))</f>
        <v>0</v>
      </c>
      <c r="AO149">
        <f>+IF(D148&lt;MasterMenu!$I$36,0,IF(AW$22&gt;D148,MIN(AW$22-D148,D$22*$K$22*$N$22,ROUNDUP((AW$22-D148)/$I$22,0)*$N$22),0))</f>
        <v>0</v>
      </c>
      <c r="AP149">
        <f>+IF(E148&lt;MasterMenu!$I$36,0,IF(AX$22&gt;E148,MIN(AX$22-E148,E$22*$K$22*$N$22,ROUNDUP((AX$22-E148)/$I$22,0)*$N$22),0))</f>
        <v>0</v>
      </c>
      <c r="AQ149">
        <f>+IF(F148&lt;MasterMenu!$I$36,0,IF(AY$22&gt;F148,MIN(AY$22-F148,F$22*$K$22*$N$22,ROUNDUP((AY$22-F148)/$I$22,0)*$N$22),0))</f>
        <v>0</v>
      </c>
      <c r="AR149">
        <f>+IF(G148&lt;MasterMenu!$I$36,0,IF(AZ$22&gt;G148,MIN(AZ$22-G148,G$22*$K$22*$N$22,ROUNDUP((AZ$22-G148)/$I$22,0)*$N$22),0))</f>
        <v>0</v>
      </c>
    </row>
    <row r="150" spans="1:44" ht="16.5" thickBot="1" x14ac:dyDescent="0.3">
      <c r="A150" s="6" t="s">
        <v>13</v>
      </c>
      <c r="B150" s="183">
        <f>+MAX(0,MIN(MasterMenu!$K$34,B149+B148))</f>
        <v>0</v>
      </c>
      <c r="C150" s="185">
        <f>+MAX(0,MIN(MasterMenu!$K$34,C149+C148))</f>
        <v>0</v>
      </c>
      <c r="D150" s="185">
        <f>+MAX(0,MIN(MasterMenu!$K$34,D149+D148))</f>
        <v>0</v>
      </c>
      <c r="E150" s="185">
        <f>+MAX(0,MIN(MasterMenu!$K$34,E149+E148))</f>
        <v>0</v>
      </c>
      <c r="F150" s="185">
        <f>+MAX(0,MIN(MasterMenu!$K$34,F149+F148))</f>
        <v>0</v>
      </c>
      <c r="G150" s="185">
        <f>+MAX(0,MIN(MasterMenu!$K$34,G149+G148))</f>
        <v>0</v>
      </c>
      <c r="H150" s="185">
        <f t="shared" si="56"/>
        <v>0</v>
      </c>
      <c r="I150" s="404"/>
      <c r="AM150">
        <f>SUM(AM143:AM149)</f>
        <v>0</v>
      </c>
      <c r="AN150">
        <f t="shared" ref="AN150" si="57">SUM(AN143:AN149)</f>
        <v>0</v>
      </c>
      <c r="AO150">
        <f t="shared" ref="AO150" si="58">SUM(AO143:AO149)</f>
        <v>0</v>
      </c>
      <c r="AP150">
        <f t="shared" ref="AP150" si="59">SUM(AP143:AP149)</f>
        <v>0</v>
      </c>
      <c r="AQ150">
        <f t="shared" ref="AQ150" si="60">SUM(AQ143:AQ149)</f>
        <v>0</v>
      </c>
      <c r="AR150">
        <f t="shared" ref="AR150" si="61">SUM(AR143:AR149)</f>
        <v>0</v>
      </c>
    </row>
    <row r="151" spans="1:44" ht="16.5" thickBot="1" x14ac:dyDescent="0.3">
      <c r="A151" s="140" t="s">
        <v>13</v>
      </c>
      <c r="B151" s="237">
        <f>+MIN(B150+B146,MasterMenu!$K$19)</f>
        <v>0</v>
      </c>
      <c r="C151" s="238">
        <f>+MIN(C150+C146,MasterMenu!$K$19)</f>
        <v>0</v>
      </c>
      <c r="D151" s="238">
        <f>+MIN(D150+D146,MasterMenu!$K$19)</f>
        <v>0</v>
      </c>
      <c r="E151" s="238">
        <f>+MIN(E150+E146,MasterMenu!$K$19)</f>
        <v>0</v>
      </c>
      <c r="F151" s="238">
        <f>+MIN(F150+F146,MasterMenu!$K$19)</f>
        <v>0</v>
      </c>
      <c r="G151" s="238">
        <f>+MIN(G150+G146,MasterMenu!$K$19)</f>
        <v>0</v>
      </c>
      <c r="H151" s="239">
        <f>SUM(B151:G151)</f>
        <v>0</v>
      </c>
      <c r="I151" s="233">
        <f>+MIN(H151,MasterMenu!$K$20)</f>
        <v>0</v>
      </c>
    </row>
    <row r="152" spans="1:44" x14ac:dyDescent="0.25">
      <c r="A152" s="140"/>
      <c r="B152" s="189"/>
      <c r="C152" s="190"/>
      <c r="D152" s="190"/>
      <c r="E152" s="190"/>
      <c r="F152" s="190"/>
      <c r="G152" s="191"/>
      <c r="H152" s="192" t="s">
        <v>131</v>
      </c>
      <c r="I152" s="240">
        <f>+Totalmedcosts+TotalRXCost</f>
        <v>0</v>
      </c>
    </row>
    <row r="153" spans="1:44" x14ac:dyDescent="0.25">
      <c r="A153" s="140"/>
      <c r="B153" s="189"/>
      <c r="C153" s="190"/>
      <c r="D153" s="190"/>
      <c r="E153" s="190"/>
      <c r="F153" s="190"/>
      <c r="G153" s="189"/>
      <c r="H153" s="193" t="s">
        <v>132</v>
      </c>
      <c r="I153" s="241">
        <f>+MIN(MasterMenu!K$20,I151)</f>
        <v>0</v>
      </c>
      <c r="J153" s="231">
        <f>MasterMenu!K$20</f>
        <v>10000</v>
      </c>
      <c r="L153" t="str">
        <f>+IF(I153&gt;J153,"Error","ok")</f>
        <v>ok</v>
      </c>
    </row>
    <row r="154" spans="1:44" ht="16.5" thickBot="1" x14ac:dyDescent="0.3">
      <c r="A154" s="140"/>
      <c r="B154" s="194"/>
      <c r="C154" s="195"/>
      <c r="D154" s="195"/>
      <c r="E154" s="195"/>
      <c r="F154" s="195"/>
      <c r="G154" s="194"/>
      <c r="H154" s="196" t="s">
        <v>133</v>
      </c>
      <c r="I154" s="242">
        <f>+I152-I153</f>
        <v>0</v>
      </c>
    </row>
    <row r="155" spans="1:44" ht="16.5" thickBot="1" x14ac:dyDescent="0.3"/>
    <row r="156" spans="1:44" ht="36" x14ac:dyDescent="0.4">
      <c r="A156" s="250" t="str">
        <f>CONCATENATE("Plan ",MasterMenu!L$1)</f>
        <v>Plan 8</v>
      </c>
      <c r="B156" s="405" t="str">
        <f>+MasterMenu!L2</f>
        <v>80% M $40</v>
      </c>
      <c r="C156" s="406"/>
      <c r="D156" s="406"/>
      <c r="E156" s="406"/>
      <c r="F156" s="406"/>
      <c r="G156" s="406"/>
      <c r="H156" s="9" t="s">
        <v>14</v>
      </c>
      <c r="I156" s="10" t="s">
        <v>93</v>
      </c>
    </row>
    <row r="157" spans="1:44" x14ac:dyDescent="0.25">
      <c r="A157" s="140" t="s">
        <v>129</v>
      </c>
      <c r="B157" s="14"/>
      <c r="C157" s="15"/>
      <c r="D157" s="15"/>
      <c r="E157" s="15"/>
      <c r="F157" s="15"/>
      <c r="G157" s="15"/>
      <c r="H157" s="15"/>
      <c r="I157" s="16"/>
      <c r="M157" s="80"/>
    </row>
    <row r="158" spans="1:44" x14ac:dyDescent="0.25">
      <c r="A158" s="4" t="s">
        <v>8</v>
      </c>
      <c r="B158" s="11">
        <f>+MIN(SUMPRODUCT(B$7:B$10,$I$7:$I$10)-EREE*MasterMenu!$L$30,MasterMenu!$L$21)</f>
        <v>0</v>
      </c>
      <c r="C158" s="12">
        <f>+MIN(SUMPRODUCT(C$7:C$10,$I$7:$I$10)-ERSP*MasterMenu!$L$30,MasterMenu!$L$21)</f>
        <v>0</v>
      </c>
      <c r="D158" s="12">
        <f>+MIN(SUMPRODUCT(D$7:D$10,$I$7:$I$10)-_ERC1*MasterMenu!$L$30,MasterMenu!$L$21)</f>
        <v>0</v>
      </c>
      <c r="E158" s="12">
        <f>+MIN(SUMPRODUCT(E$7:E$10,$I$7:$I$10)-_ERC2*MasterMenu!$L$30,MasterMenu!$L$21)</f>
        <v>0</v>
      </c>
      <c r="F158" s="12">
        <f>+MIN(SUMPRODUCT(F$7:F$10,$I$7:$I$10)-_ERC3*MasterMenu!$L$30,MasterMenu!$L$21)</f>
        <v>0</v>
      </c>
      <c r="G158" s="12">
        <f>+MIN(SUMPRODUCT(G$7:G$10,$I$7:$I$10)-_ERC4*MasterMenu!$L$30,MasterMenu!$L$21)</f>
        <v>0</v>
      </c>
      <c r="H158" s="12">
        <f>SUM(B158:G158)</f>
        <v>0</v>
      </c>
      <c r="I158" s="13">
        <f>MIN(MasterMenu!L$22,H158)</f>
        <v>0</v>
      </c>
      <c r="M158" s="80"/>
    </row>
    <row r="159" spans="1:44" x14ac:dyDescent="0.25">
      <c r="A159" s="4" t="s">
        <v>9</v>
      </c>
      <c r="B159" s="11">
        <f>+HWCEE*MasterMenu!$L$26+EREE*MasterMenu!$L$30+TMEE*MasterMenu!$L$32+(_OVEE+MAX(B5-3,0))*MasterMenu!$L$27</f>
        <v>0</v>
      </c>
      <c r="C159" s="165">
        <f>+HWCSP*MasterMenu!$L$26+ERSP*MasterMenu!$L$30+TMSP*MasterMenu!$L$32+(_OVSP+MAX(C5-3,0))*MasterMenu!$L$27</f>
        <v>0</v>
      </c>
      <c r="D159" s="165">
        <f>+HWCC1*MasterMenu!$L$26+_ERC1*MasterMenu!$L$30+_TMC1*MasterMenu!$L$32+(_OVCH1+MAX(D5-3,0))*MasterMenu!$L$27</f>
        <v>0</v>
      </c>
      <c r="E159" s="165">
        <f>+HWCC2*MasterMenu!$L$26+_ERC2*MasterMenu!$L$30+_TMC2*MasterMenu!$L$32+(_OVCH2+MAX(E5-3,0))*MasterMenu!$L$27</f>
        <v>0</v>
      </c>
      <c r="F159" s="12">
        <f>+HWCC3*MasterMenu!$L$26+_ERC3*MasterMenu!$L$30+_TMC3*MasterMenu!$L$32+(_OVCH3+MAX(F5-3,0))*MasterMenu!$L$27</f>
        <v>0</v>
      </c>
      <c r="G159" s="165">
        <f>+HWCC4*MasterMenu!$L$26+_ERC4*MasterMenu!$L$30+_TMC4*MasterMenu!$L$32+(_OVCH4+MAX(F5-3,0))*MasterMenu!$L$27</f>
        <v>0</v>
      </c>
      <c r="H159" s="12">
        <f>SUM(B159:G159)</f>
        <v>0</v>
      </c>
      <c r="I159" s="407">
        <f>+MIN(H161,MasterMenu!L$24)</f>
        <v>0</v>
      </c>
      <c r="M159" s="80"/>
    </row>
    <row r="160" spans="1:44" x14ac:dyDescent="0.25">
      <c r="A160" s="4" t="s">
        <v>10</v>
      </c>
      <c r="B160" s="11">
        <f>+(SUMPRODUCT(B$7:B$10,$I$7:$I$10)-B158-EREE*MasterMenu!$L$30)*MasterMenu!$L$28</f>
        <v>0</v>
      </c>
      <c r="C160" s="165">
        <f>+(SUMPRODUCT(C$7:C$10,$I$7:$I$10)-C158-ERSP*MasterMenu!$L$30)*MasterMenu!$L$28</f>
        <v>0</v>
      </c>
      <c r="D160" s="165">
        <f>+(SUMPRODUCT(D$7:D$10,$I$7:$I$10)-D158-_ERC1*MasterMenu!$L$30)*MasterMenu!$L$28</f>
        <v>0</v>
      </c>
      <c r="E160" s="165">
        <f>+(SUMPRODUCT(E$7:E$10,$I$7:$I$10)-E158-_ERC2*MasterMenu!$L$30)*MasterMenu!$L$28</f>
        <v>0</v>
      </c>
      <c r="F160" s="165">
        <f>+(SUMPRODUCT(F$7:F$10,$I$7:$I$10)-F158-_ERC3*MasterMenu!$L$30)*MasterMenu!$L$28</f>
        <v>0</v>
      </c>
      <c r="G160" s="165">
        <f>+(SUMPRODUCT(G$7:G$10,$I$7:$I$10)-G158-_ERC4*MasterMenu!$L$30)*MasterMenu!$L$28</f>
        <v>0</v>
      </c>
      <c r="H160" s="12">
        <f>SUM(B160:G160)</f>
        <v>0</v>
      </c>
      <c r="I160" s="407"/>
      <c r="M160" s="80"/>
    </row>
    <row r="161" spans="1:44" x14ac:dyDescent="0.25">
      <c r="A161" s="6" t="s">
        <v>12</v>
      </c>
      <c r="B161" s="17">
        <f>+MIN((+B160+B159),MasterMenu!$L$23)</f>
        <v>0</v>
      </c>
      <c r="C161" s="166">
        <f>+MIN((+C160+C159),MasterMenu!$L$23)</f>
        <v>0</v>
      </c>
      <c r="D161" s="166">
        <f>+MIN((+D160+D159),MasterMenu!$L$23)</f>
        <v>0</v>
      </c>
      <c r="E161" s="166">
        <f>+MIN((+E160+E159),MasterMenu!$L$23)</f>
        <v>0</v>
      </c>
      <c r="F161" s="166">
        <f>+MIN((+F160+F159),MasterMenu!$L$23)</f>
        <v>0</v>
      </c>
      <c r="G161" s="166">
        <f>+MIN((+G160+G159),MasterMenu!$L$23)</f>
        <v>0</v>
      </c>
      <c r="H161" s="12">
        <f>SUM(B161:G161)</f>
        <v>0</v>
      </c>
      <c r="I161" s="407"/>
    </row>
    <row r="162" spans="1:44" ht="16.5" thickBot="1" x14ac:dyDescent="0.3">
      <c r="A162" s="6" t="s">
        <v>13</v>
      </c>
      <c r="B162" s="17">
        <f>+MIN((B161+B158),MasterMenu!$L$19)</f>
        <v>0</v>
      </c>
      <c r="C162" s="166">
        <f>+MIN((C161+C158),MasterMenu!$L$19)</f>
        <v>0</v>
      </c>
      <c r="D162" s="166">
        <f>+MIN((D161+D158),MasterMenu!$L$19)</f>
        <v>0</v>
      </c>
      <c r="E162" s="166">
        <f>+MIN((E161+E158),MasterMenu!$L$19)</f>
        <v>0</v>
      </c>
      <c r="F162" s="166">
        <f>+MIN((F161+F158),MasterMenu!$L$19)</f>
        <v>0</v>
      </c>
      <c r="G162" s="166">
        <f>+MIN((G161+G158),MasterMenu!$L$19)</f>
        <v>0</v>
      </c>
      <c r="H162" s="12">
        <f>SUM(B162:G162)</f>
        <v>0</v>
      </c>
      <c r="I162" s="13">
        <f>+MIN((I158+I159),MasterMenu!L$20,H162,Totalmedcosts)</f>
        <v>0</v>
      </c>
      <c r="J162" s="231">
        <f>MasterMenu!L$20</f>
        <v>8000</v>
      </c>
    </row>
    <row r="163" spans="1:44" x14ac:dyDescent="0.25">
      <c r="A163" s="140" t="s">
        <v>130</v>
      </c>
      <c r="B163" s="408"/>
      <c r="C163" s="409"/>
      <c r="D163" s="409"/>
      <c r="E163" s="409"/>
      <c r="F163" s="409"/>
      <c r="G163" s="409"/>
      <c r="H163" s="409"/>
      <c r="I163" s="410"/>
    </row>
    <row r="164" spans="1:44" x14ac:dyDescent="0.25">
      <c r="A164" s="4" t="s">
        <v>8</v>
      </c>
      <c r="B164" s="11">
        <f>+MIN(MasterMenu!$L$36,(AM$18+AM$21+AM$22))</f>
        <v>0</v>
      </c>
      <c r="C164" s="12">
        <f>+MIN(MasterMenu!$L$36,(AN$18+AN$21+AN$22))</f>
        <v>0</v>
      </c>
      <c r="D164" s="12">
        <f>+MIN(MasterMenu!$L$36,(AO$18+AO$21+AO$22))</f>
        <v>0</v>
      </c>
      <c r="E164" s="12">
        <f>+MIN(MasterMenu!$L$36,(AP$18+AP$21+AP$22))</f>
        <v>0</v>
      </c>
      <c r="F164" s="12">
        <f>+MIN(MasterMenu!$L$36,(AQ$18+AQ$21+AQ$22))</f>
        <v>0</v>
      </c>
      <c r="G164" s="12">
        <f>+MIN(MasterMenu!$L$36,(AR$18+AR$21+AR$22))</f>
        <v>0</v>
      </c>
      <c r="H164" s="12">
        <f>SUM(B164:G164)</f>
        <v>0</v>
      </c>
      <c r="I164" s="226">
        <f>+MIN(MasterMenu!$J$37,TotalRXCost,H164)</f>
        <v>0</v>
      </c>
    </row>
    <row r="165" spans="1:44" x14ac:dyDescent="0.25">
      <c r="A165" s="4" t="s">
        <v>9</v>
      </c>
      <c r="B165" s="11">
        <f>W$23</f>
        <v>0</v>
      </c>
      <c r="C165" s="12">
        <f t="shared" ref="C165:G165" si="62">X$23</f>
        <v>0</v>
      </c>
      <c r="D165" s="12">
        <f t="shared" si="62"/>
        <v>0</v>
      </c>
      <c r="E165" s="12">
        <f t="shared" si="62"/>
        <v>0</v>
      </c>
      <c r="F165" s="12">
        <f t="shared" si="62"/>
        <v>0</v>
      </c>
      <c r="G165" s="12">
        <f t="shared" si="62"/>
        <v>0</v>
      </c>
      <c r="H165" s="12">
        <f>SUM(B165:G165)</f>
        <v>0</v>
      </c>
      <c r="I165" s="400">
        <f>+MIN(MasterMenu!L35-I164,TotalRXCost,H165)</f>
        <v>0</v>
      </c>
    </row>
    <row r="166" spans="1:44" ht="16.5" thickBot="1" x14ac:dyDescent="0.3">
      <c r="A166" s="6" t="s">
        <v>13</v>
      </c>
      <c r="B166" s="11">
        <f>+MIN(MasterMenu!$L$34,B165+B164)</f>
        <v>0</v>
      </c>
      <c r="C166" s="12">
        <f>+MIN(MasterMenu!$L$34,C165+C164)</f>
        <v>0</v>
      </c>
      <c r="D166" s="12">
        <f>+MIN(MasterMenu!$L$34,D165+D164)</f>
        <v>0</v>
      </c>
      <c r="E166" s="12">
        <f>+MIN(MasterMenu!$L$34,E165+E164)</f>
        <v>0</v>
      </c>
      <c r="F166" s="12">
        <f>+MIN(MasterMenu!$L$34,F165+F164)</f>
        <v>0</v>
      </c>
      <c r="G166" s="12">
        <f>+MIN(MasterMenu!$L$34,G165+G164)</f>
        <v>0</v>
      </c>
      <c r="H166" s="12">
        <f>SUM(B166:G166)</f>
        <v>0</v>
      </c>
      <c r="I166" s="401" t="e">
        <f>+MIN(MasterMenu!#REF!,TotalRXCost,H168)</f>
        <v>#REF!</v>
      </c>
      <c r="J166" s="231">
        <f>+MasterMenu!L$35</f>
        <v>3500</v>
      </c>
      <c r="L166" t="str">
        <f>+IF(I165&gt;J166+I164,"Error","ok")</f>
        <v>ok</v>
      </c>
    </row>
    <row r="167" spans="1:44" x14ac:dyDescent="0.25">
      <c r="A167" s="140"/>
      <c r="B167" s="145"/>
      <c r="C167" s="139"/>
      <c r="D167" s="139"/>
      <c r="E167" s="139"/>
      <c r="F167" s="139"/>
      <c r="G167" s="142"/>
      <c r="H167" s="143" t="s">
        <v>131</v>
      </c>
      <c r="I167" s="144">
        <f>+Totalmedcosts+TotalRXCost</f>
        <v>0</v>
      </c>
    </row>
    <row r="168" spans="1:44" x14ac:dyDescent="0.25">
      <c r="A168" s="140"/>
      <c r="B168" s="145"/>
      <c r="C168" s="139"/>
      <c r="D168" s="139"/>
      <c r="E168" s="139"/>
      <c r="F168" s="139"/>
      <c r="G168" s="145"/>
      <c r="H168" s="141" t="s">
        <v>132</v>
      </c>
      <c r="I168" s="13">
        <f>+I164+I162+I165</f>
        <v>0</v>
      </c>
      <c r="J168" s="231" t="str">
        <f>+IF(I168&gt;J162+J166,"ERROR","ok")</f>
        <v>ok</v>
      </c>
    </row>
    <row r="169" spans="1:44" ht="16.5" thickBot="1" x14ac:dyDescent="0.3">
      <c r="A169" s="140"/>
      <c r="B169" s="146"/>
      <c r="C169" s="148"/>
      <c r="D169" s="148"/>
      <c r="E169" s="148"/>
      <c r="F169" s="148"/>
      <c r="G169" s="146"/>
      <c r="H169" s="147" t="s">
        <v>133</v>
      </c>
      <c r="I169" s="19">
        <f>+I167-I168</f>
        <v>0</v>
      </c>
    </row>
    <row r="170" spans="1:44" ht="16.5" thickBot="1" x14ac:dyDescent="0.3"/>
    <row r="171" spans="1:44" ht="36" x14ac:dyDescent="0.4">
      <c r="A171" s="250" t="str">
        <f>CONCATENATE("Plan ",MasterMenu!M$1)</f>
        <v>Plan 9</v>
      </c>
      <c r="B171" s="394" t="str">
        <f>+MasterMenu!M2</f>
        <v>HSA $5000</v>
      </c>
      <c r="C171" s="395"/>
      <c r="D171" s="395"/>
      <c r="E171" s="395"/>
      <c r="F171" s="395"/>
      <c r="G171" s="395"/>
      <c r="H171" s="178" t="s">
        <v>14</v>
      </c>
      <c r="I171" s="179" t="s">
        <v>93</v>
      </c>
    </row>
    <row r="172" spans="1:44" x14ac:dyDescent="0.25">
      <c r="A172" s="140" t="s">
        <v>129</v>
      </c>
      <c r="B172" s="180"/>
      <c r="C172" s="181"/>
      <c r="D172" s="181"/>
      <c r="E172" s="181"/>
      <c r="F172" s="181"/>
      <c r="G172" s="181"/>
      <c r="H172" s="181"/>
      <c r="I172" s="182"/>
      <c r="M172" s="80"/>
    </row>
    <row r="173" spans="1:44" x14ac:dyDescent="0.25">
      <c r="A173" s="4" t="s">
        <v>8</v>
      </c>
      <c r="B173" s="183">
        <f>+MIN(SUMPRODUCT(B$3:B$11,$I$3:$I$11)-EREE*MasterMenu!$M$30,MasterMenu!$M$21)</f>
        <v>0</v>
      </c>
      <c r="C173" s="185">
        <f>+MIN(SUMPRODUCT(C$3:C$11,$I$3:$I$11)-ERSP*MasterMenu!$M$30,MasterMenu!$M$21)</f>
        <v>0</v>
      </c>
      <c r="D173" s="185">
        <f>+MIN(SUMPRODUCT(D$3:D$11,$I$3:$I$11)-_ERC1*MasterMenu!$M$30,MasterMenu!$M$21)</f>
        <v>0</v>
      </c>
      <c r="E173" s="185">
        <f>+MIN(SUMPRODUCT(E$3:E$11,$I$3:$I$11)-_ERC2*MasterMenu!$M$30,MasterMenu!$M$21)</f>
        <v>0</v>
      </c>
      <c r="F173" s="185">
        <f>+MIN(SUMPRODUCT(F$3:F$11,$I$3:$I$11)-_ERC3*MasterMenu!$M$30,MasterMenu!$M$21)</f>
        <v>0</v>
      </c>
      <c r="G173" s="185">
        <f>+MIN(SUMPRODUCT(G$3:G$11,$I$3:$I$11)-_ERC4*MasterMenu!$M$30,MasterMenu!$M$21)</f>
        <v>0</v>
      </c>
      <c r="H173" s="185">
        <f>SUM(B173:G173)</f>
        <v>0</v>
      </c>
      <c r="I173" s="186">
        <f>MIN(MasterMenu!M$22,H173)</f>
        <v>0</v>
      </c>
      <c r="M173" s="80"/>
    </row>
    <row r="174" spans="1:44" x14ac:dyDescent="0.25">
      <c r="A174" s="4" t="s">
        <v>9</v>
      </c>
      <c r="B174" s="183">
        <f>+HWCEE*MasterMenu!$M$26+EREE*MasterMenu!$M$30+TMEE*MasterMenu!$M$32+(_OVEE+MAX(B5-3,0))*MasterMenu!$M$27</f>
        <v>0</v>
      </c>
      <c r="C174" s="184">
        <f>+HWCSP*MasterMenu!$M$26+ERSP*MasterMenu!$M$30+TMSP*MasterMenu!$M$32+(_OVSP+MAX(C5-3,0))*MasterMenu!$M$27</f>
        <v>0</v>
      </c>
      <c r="D174" s="184">
        <f>+HWCC1*MasterMenu!$M$26+_ERC1*MasterMenu!$M$30+_TMC1*MasterMenu!$M$32+(_OVCH1+MAX(D5-3,0))*MasterMenu!$M$27</f>
        <v>0</v>
      </c>
      <c r="E174" s="184">
        <f>+HWCC2*MasterMenu!$M$26+_ERC2*MasterMenu!$M$30+_TMC2*MasterMenu!$M$32+(_OVCH2+MAX(E5-3,0))*MasterMenu!$M$27</f>
        <v>0</v>
      </c>
      <c r="F174" s="185">
        <f>+HWCC3*MasterMenu!$M$26+_ERC3*MasterMenu!$M$30+_TMC3*MasterMenu!$M$32+(_OVCH3+MAX(F5-3,0))*MasterMenu!$M$27</f>
        <v>0</v>
      </c>
      <c r="G174" s="184">
        <f>+HWCC4*MasterMenu!$M$26+_ERC4*MasterMenu!$M$30+_TMC4*MasterMenu!$M$32+(_OVCH4+MAX(F5-3,0))*MasterMenu!$M$27</f>
        <v>0</v>
      </c>
      <c r="H174" s="185">
        <f>SUM(B174:G174)</f>
        <v>0</v>
      </c>
      <c r="I174" s="396">
        <f>+MIN(H176,MasterMenu!M$24)</f>
        <v>0</v>
      </c>
      <c r="J174" s="227" t="s">
        <v>148</v>
      </c>
      <c r="K174" s="227"/>
      <c r="M174" s="80"/>
      <c r="AM174">
        <f>+IF(B179&lt;MasterMenu!$I$36,0,IF(AU$16&gt;B179,MIN(AU$16-B179,B$16*$K$16*$N$16,ROUNDUP((AU$16-B179)/$I$16,0)*$N$16),0))</f>
        <v>0</v>
      </c>
      <c r="AN174">
        <f>+IF(C179&lt;MasterMenu!$I$36,0,IF(AV$16&gt;C179,MIN(AV$16-C179,C$16*$K$16*$N$16,ROUNDUP((AV$16-C179)/$I$16,0)*$N$16),0))</f>
        <v>0</v>
      </c>
      <c r="AO174">
        <f>+IF(D179&lt;MasterMenu!$I$36,0,IF(AW$16&gt;D179,MIN(AW$16-D179,D$16*$K$16*$N$16,ROUNDUP((AW$16-D179)/$I$16,0)*$N$16),0))</f>
        <v>0</v>
      </c>
      <c r="AP174">
        <f>+IF(E179&lt;MasterMenu!$I$36,0,IF(AX$16&gt;E179,MIN(AX$16-E179,E$16*$K$16*$N$16,ROUNDUP((AX$16-E179)/$I$16,0)*$N$16),0))</f>
        <v>0</v>
      </c>
      <c r="AQ174">
        <f>+IF(F179&lt;MasterMenu!$I$36,0,IF(AY$16&gt;F179,MIN(AY$16-F179,F$16*$K$16*$N$16,ROUNDUP((AY$16-F179)/$I$16,0)*$N$16),0))</f>
        <v>0</v>
      </c>
      <c r="AR174">
        <f>+IF(G179&lt;MasterMenu!$I$36,0,IF(AZ$16&gt;G179,MIN(AZ$16-G179,G$16*$K$16*$N$16,ROUNDUP((AZ$16-G179)/$I$16,0)*$N$16),0))</f>
        <v>0</v>
      </c>
    </row>
    <row r="175" spans="1:44" x14ac:dyDescent="0.25">
      <c r="A175" s="4" t="s">
        <v>10</v>
      </c>
      <c r="B175" s="183">
        <f>++MAX(0,(SUMPRODUCT(B$3:B$11,$I$3:$I$11)-B173-EREE*MasterMenu!$M$30)*MasterMenu!$M$28)</f>
        <v>0</v>
      </c>
      <c r="C175" s="184">
        <f>++MAX(0,(SUMPRODUCT(C$3:C$11,$I$3:$I$11)-C173-ERSP*MasterMenu!$M$30)*MasterMenu!$M$28)</f>
        <v>0</v>
      </c>
      <c r="D175" s="184">
        <f>++MAX(0,(SUMPRODUCT(D$3:D$11,$I$3:$I$11)-D173-_ERC1*MasterMenu!$M$30)*MasterMenu!$M$28)</f>
        <v>0</v>
      </c>
      <c r="E175" s="184">
        <f>++MAX(0,(SUMPRODUCT(E$3:E$11,$I$3:$I$11)-E173-_ERC2*MasterMenu!$M$30)*MasterMenu!$M$28)</f>
        <v>0</v>
      </c>
      <c r="F175" s="184">
        <f>++MAX(0,(SUMPRODUCT(F$3:F$11,$I$3:$I$11)-F173-_ERC3*MasterMenu!$M$30)*MasterMenu!$M$28)</f>
        <v>0</v>
      </c>
      <c r="G175" s="184">
        <f>++MAX(0,(SUMPRODUCT(G$3:G$11,$I$3:$I$11)-G173-_ERC4*MasterMenu!$M$30)*MasterMenu!$M$28)</f>
        <v>0</v>
      </c>
      <c r="H175" s="185">
        <f>SUM(B175:G175)</f>
        <v>0</v>
      </c>
      <c r="I175" s="396"/>
      <c r="M175" s="80"/>
      <c r="AM175">
        <f>+IF(B179&lt;MasterMenu!$I$36,0,IF(AU$17&gt;B179,MIN(AU$17-B179,B$17*$K$17*$N$17,ROUNDUP((AU$17-B179)/$I$17,0)*$N$17),0))</f>
        <v>0</v>
      </c>
      <c r="AN175">
        <f>+IF(C179&lt;MasterMenu!$I$36,0,IF(AV$17&gt;C179,MIN(AV$17-C179,C$17*$K$17*$N$17,ROUNDUP((AV$17-C179)/$I$17,0)*$N$17),0))</f>
        <v>0</v>
      </c>
      <c r="AO175">
        <f>+IF(D179&lt;MasterMenu!$I$36,0,IF(AW$17&gt;D179,MIN(AW$17-D179,D$17*$K$17*$N$17,ROUNDUP((AW$17-D179)/$I$17,0)*$N$17),0))</f>
        <v>0</v>
      </c>
      <c r="AP175">
        <f>+IF(E179&lt;MasterMenu!$I$36,0,IF(AX$17&gt;E179,MIN(AX$17-E179,E$17*$K$17*$N$17,ROUNDUP((AX$17-E179)/$I$17,0)*$N$17),0))</f>
        <v>0</v>
      </c>
      <c r="AQ175">
        <f>+IF(F179&lt;MasterMenu!$I$36,0,IF(AY$17&gt;F179,MIN(AY$17-F179,F$17*$K$17*$N$17,ROUNDUP((AY$17-F179)/$I$17,0)*$N$17),0))</f>
        <v>0</v>
      </c>
      <c r="AR175">
        <f>+IF(G179&lt;MasterMenu!$I$36,0,IF(AZ$17&gt;G179,MIN(AZ$17-G179,G$17*$K$17*$N$17,ROUNDUP((AZ$17-G179)/$I$17,0)*$N$17),0))</f>
        <v>0</v>
      </c>
    </row>
    <row r="176" spans="1:44" x14ac:dyDescent="0.25">
      <c r="A176" s="6" t="s">
        <v>12</v>
      </c>
      <c r="B176" s="187">
        <f>+MIN((+B175+B174),MasterMenu!$M$19-B173)</f>
        <v>0</v>
      </c>
      <c r="C176" s="188">
        <f>+MIN((+C175+C174),MasterMenu!$M$19-C173)</f>
        <v>0</v>
      </c>
      <c r="D176" s="188">
        <f>+MIN((+D175+D174),MasterMenu!$M$19-D173)</f>
        <v>0</v>
      </c>
      <c r="E176" s="188">
        <f>+MIN((+E175+E174),MasterMenu!$M$19-E173)</f>
        <v>0</v>
      </c>
      <c r="F176" s="188">
        <f>+MIN((+F175+F174),MasterMenu!$M$19-F173)</f>
        <v>0</v>
      </c>
      <c r="G176" s="188">
        <f>+MIN((+G175+G174),MasterMenu!$M$19-G173)</f>
        <v>0</v>
      </c>
      <c r="H176" s="185">
        <f>SUM(B176:G176)</f>
        <v>0</v>
      </c>
      <c r="I176" s="396"/>
      <c r="AM176">
        <f>+IF(B179&lt;MasterMenu!$I$36,0,IF(AU$18&gt;B179,MIN(AU$18-B179,B$18*$K$18*$N$18,ROUNDUP((AU$18-B179)/$I$18,0)*$N$18),0))</f>
        <v>0</v>
      </c>
      <c r="AN176">
        <f>+IF(C179&lt;MasterMenu!$I$36,0,IF(AV$18&gt;C179,MIN(AV$18-C179,C$18*$K$18*$N$18,ROUNDUP((AV$18-C179)/$I$18,0)*$N$18),0))</f>
        <v>0</v>
      </c>
      <c r="AO176">
        <f>+IF(D179&lt;MasterMenu!$I$36,0,IF(AW$18&gt;D179,MIN(AW$18-D179,D$18*$K$18*$N$18,ROUNDUP((AW$18-D179)/$I$18,0)*$N$18),0))</f>
        <v>0</v>
      </c>
      <c r="AP176">
        <f>+IF(E179&lt;MasterMenu!$I$36,0,IF(AX$18&gt;E179,MIN(AX$18-E179,E$18*$K$18*$N$18,ROUNDUP((AX$18-E179)/$I$18,0)*$N$18),0))</f>
        <v>0</v>
      </c>
      <c r="AQ176">
        <f>+IF(F179&lt;MasterMenu!$I$36,0,IF(AY$18&gt;F179,MIN(AY$18-F179,F$18*$K$18*$N$18,ROUNDUP((AY$18-F179)/$I$18,0)*$N$18),0))</f>
        <v>0</v>
      </c>
      <c r="AR176">
        <f>+IF(G179&lt;MasterMenu!$I$36,0,IF(AZ$18&gt;G179,MIN(AZ$18-G179,G$18*$K$18*$N$18,ROUNDUP((AZ$18-G179)/$I$18,0)*$N$18),0))</f>
        <v>0</v>
      </c>
    </row>
    <row r="177" spans="1:44" ht="16.5" thickBot="1" x14ac:dyDescent="0.3">
      <c r="A177" s="6" t="s">
        <v>13</v>
      </c>
      <c r="B177" s="187">
        <f>+MIN((B176+B173),MasterMenu!$M$19)</f>
        <v>0</v>
      </c>
      <c r="C177" s="188">
        <f>+MIN((C176+C173),MasterMenu!$M$19)</f>
        <v>0</v>
      </c>
      <c r="D177" s="188">
        <f>+MIN((D176+D173),MasterMenu!$M$19)</f>
        <v>0</v>
      </c>
      <c r="E177" s="188">
        <f>+MIN((E176+E173),MasterMenu!$M$19)</f>
        <v>0</v>
      </c>
      <c r="F177" s="188">
        <f>+MIN((F176+F173),MasterMenu!$M$19)</f>
        <v>0</v>
      </c>
      <c r="G177" s="188">
        <f>+MIN((G176+G173),MasterMenu!$M$19)</f>
        <v>0</v>
      </c>
      <c r="H177" s="185">
        <f>SUM(B177:G177)</f>
        <v>0</v>
      </c>
      <c r="I177" s="186">
        <f>+MIN((I173+I174),MasterMenu!M$20,H177,Totalmedcosts)</f>
        <v>0</v>
      </c>
      <c r="AM177">
        <f>+IF(B179&lt;MasterMenu!$I$36,0,IF(AU$19&gt;B179,MIN(AU$19-B179,B$19*$K$19*$N$19,ROUNDUP((AU$19-B179)/$I$19,0)*$N$19),0))</f>
        <v>0</v>
      </c>
      <c r="AN177">
        <f>+IF(C179&lt;MasterMenu!$I$36,0,IF(AV$19&gt;C179,MIN(AV$19-C179,C$19*$K$19*$N$19,ROUNDUP((AV$19-C179)/$I$19,0)*$N$19),0))</f>
        <v>0</v>
      </c>
      <c r="AO177">
        <f>+IF(D179&lt;MasterMenu!$I$36,0,IF(AW$19&gt;D179,MIN(AW$19-D179,D$19*$K$19*$N$19,ROUNDUP((AW$19-D179)/$I$19,0)*$N$19),0))</f>
        <v>0</v>
      </c>
      <c r="AP177">
        <f>+IF(E179&lt;MasterMenu!$I$36,0,IF(AX$19&gt;E179,MIN(AX$19-E179,E$19*$K$19*$N$19,ROUNDUP((AX$19-E179)/$I$19,0)*$N$19),0))</f>
        <v>0</v>
      </c>
      <c r="AQ177">
        <f>+IF(F179&lt;MasterMenu!$I$36,0,IF(AY$19&gt;F179,MIN(AY$19-F179,F$19*$K$19*$N$19,ROUNDUP((AY$19-F179)/$I$19,0)*$N$19),0))</f>
        <v>0</v>
      </c>
      <c r="AR177">
        <f>+IF(G179&lt;MasterMenu!$I$36,0,IF(AZ$19&gt;G179,MIN(AZ$19-G179,G$19*$K$19*$N$19,ROUNDUP((AZ$19-F179)/$I$19,0)*$N$19),0))</f>
        <v>0</v>
      </c>
    </row>
    <row r="178" spans="1:44" x14ac:dyDescent="0.25">
      <c r="A178" s="140" t="s">
        <v>130</v>
      </c>
      <c r="B178" s="397"/>
      <c r="C178" s="398"/>
      <c r="D178" s="398"/>
      <c r="E178" s="398"/>
      <c r="F178" s="398"/>
      <c r="G178" s="398"/>
      <c r="H178" s="398"/>
      <c r="I178" s="399"/>
      <c r="AM178">
        <f>+IF(B179&lt;MasterMenu!$I$36,0,IF(AU$20&gt;B179,MIN(AU$20-B179,B$20*$K$20*$N$20,ROUNDUP((AU$20-B179)/$I$20,0)*$N$20),0))</f>
        <v>0</v>
      </c>
      <c r="AN178">
        <f>+IF(C179&lt;MasterMenu!$I$36,0,IF(AV$20&gt;C179,MIN(AV$20-C179,C$20*$K$20*$N$20,ROUNDUP((AV$20-C$32)/$I$20,0)*$N$20),0))</f>
        <v>0</v>
      </c>
      <c r="AO178">
        <f>+IF(D179&lt;MasterMenu!$I$36,0,IF(AW$20&gt;D179,MIN(AW$20-D179,D$20*$K$20*$N$20,ROUNDUP((AW$20-D179)/$I$20,0)*$N$20),0))</f>
        <v>0</v>
      </c>
      <c r="AP178">
        <f>+IF(E179&lt;MasterMenu!$I$36,0,IF(AX$20&gt;E179,MIN(AX$20-E179,E$20*$K$20*$N$20,ROUNDUP((AX$20-E179)/$I$20,0)*$N$20),0))</f>
        <v>0</v>
      </c>
      <c r="AQ178">
        <f>+IF(F179&lt;MasterMenu!$I$36,0,IF(AY$20&gt;F179,MIN(AY$20-F179,F$20*$K$20*$N$20,ROUNDUP((AY$20-F179)/$I$20,0)*$N$20),0))</f>
        <v>0</v>
      </c>
      <c r="AR178">
        <f>+IF(G179&lt;MasterMenu!$I$36,0,IF(AZ$20&gt;G179,MIN(AZ$20-G179,G$20*$K$20*$N$20,ROUNDUP((AZ$20-G179)/$I$20,0)*$N$20),0))</f>
        <v>0</v>
      </c>
    </row>
    <row r="179" spans="1:44" x14ac:dyDescent="0.25">
      <c r="A179" s="4" t="s">
        <v>8</v>
      </c>
      <c r="B179" s="183">
        <f>+MIN(MasterMenu!$M$36-B173,(AM$23))</f>
        <v>0</v>
      </c>
      <c r="C179" s="185">
        <f>+MIN(MasterMenu!$M$36-C173,(AN$23))</f>
        <v>0</v>
      </c>
      <c r="D179" s="185">
        <f>+MIN(MasterMenu!$M$36-D173,(AO$23))</f>
        <v>0</v>
      </c>
      <c r="E179" s="185">
        <f>+MIN(MasterMenu!$M$36-E173,(AP$23))</f>
        <v>0</v>
      </c>
      <c r="F179" s="185">
        <f>+MIN(MasterMenu!$M$36-F173,(AQ$23))</f>
        <v>0</v>
      </c>
      <c r="G179" s="185">
        <f>+MIN(MasterMenu!$M$36-G173,(AR$23))</f>
        <v>0</v>
      </c>
      <c r="H179" s="185">
        <f>SUM(B179:G179)</f>
        <v>0</v>
      </c>
      <c r="I179" s="402">
        <f>+MIN(MasterMenu!$M$35,H181)</f>
        <v>0</v>
      </c>
      <c r="AM179">
        <f>+IF(B179&lt;MasterMenu!$I$36,0,IF(AU$21&gt;B179,MIN(AU$21-B179,B$21*$K$21*$N$21,ROUNDUP((AU$21-B179)/$I$21,0)*$N$21),0))</f>
        <v>0</v>
      </c>
      <c r="AN179">
        <f>+IF(C179&lt;MasterMenu!$I$36,0,IF(AV$21&gt;C179,MIN(AV$21-C179,C$21*$K$21*$N$21,ROUNDUP((AV$21-C179)/$I$21,0)*$N$21),0))</f>
        <v>0</v>
      </c>
      <c r="AO179">
        <f>+IF(D179&lt;MasterMenu!$I$36,0,IF(AW$21&gt;D179,MIN(AW$21-D179,D$21*$K$21*$N$21,ROUNDUP((AW$21-D179)/$I$21,0)*$N$21),0))</f>
        <v>0</v>
      </c>
      <c r="AP179">
        <f>+IF(E179&lt;MasterMenu!$I$36,0,IF(AX$21&gt;E179,MIN(AX$21-E179,E$21*$K$21*$N$21,ROUNDUP((AX$21-E179)/$I$21,0)*$N$21),0))</f>
        <v>0</v>
      </c>
      <c r="AQ179">
        <f>+IF(F179&lt;MasterMenu!$I$36,0,IF(AY$21&gt;F179,MIN(AY$21-F179,F$21*$K$21*$N$21,ROUNDUP((AY$21-F179)/$I$21,0)*$N$21),0))</f>
        <v>0</v>
      </c>
      <c r="AR179">
        <f>+IF(G179&lt;MasterMenu!$I$36,0,IF(AZ$21&gt;G179,MIN(AZ$21-G179,G$21*$K$21*$N$21,ROUNDUP((AZ$21-G179)/$I$21,0)*$N$21),0))</f>
        <v>0</v>
      </c>
    </row>
    <row r="180" spans="1:44" x14ac:dyDescent="0.25">
      <c r="A180" s="4" t="s">
        <v>9</v>
      </c>
      <c r="B180" s="183">
        <f t="shared" ref="B180" si="63">+IF(B179=0,AE$23,AM181)</f>
        <v>0</v>
      </c>
      <c r="C180" s="185">
        <f t="shared" ref="C180" si="64">+IF(C179=0,AF$23,AN181)</f>
        <v>0</v>
      </c>
      <c r="D180" s="185">
        <f t="shared" ref="D180" si="65">+IF(D179=0,AG$23,AO181)</f>
        <v>0</v>
      </c>
      <c r="E180" s="185">
        <f t="shared" ref="E180" si="66">+IF(E179=0,AH$23,AP181)</f>
        <v>0</v>
      </c>
      <c r="F180" s="185">
        <f t="shared" ref="F180" si="67">+IF(F179=0,AI$23,AQ181)</f>
        <v>0</v>
      </c>
      <c r="G180" s="185">
        <f t="shared" ref="G180" si="68">+IF(G179=0,AJ$23,AR181)</f>
        <v>0</v>
      </c>
      <c r="H180" s="185">
        <f t="shared" ref="H180:H181" si="69">SUM(B180:G180)</f>
        <v>0</v>
      </c>
      <c r="I180" s="403"/>
      <c r="AM180">
        <f>+IF(B179&lt;MasterMenu!$I$36,0,IF(AU$22&gt;B179,MIN(AU$22-B179,B$22*$K$22*$N$22,ROUNDUP((AU$22-B179)/$I$22,0)*$N$22),0))</f>
        <v>0</v>
      </c>
      <c r="AN180">
        <f>+IF(C179&lt;MasterMenu!$I$36,0,IF(AV$22&gt;C179,MIN(AV$22-C179,C$22*$K$22*$N$22,ROUNDUP((AV$22-C179)/$I$22,0)*$N$22),0))</f>
        <v>0</v>
      </c>
      <c r="AO180">
        <f>+IF(D179&lt;MasterMenu!$I$36,0,IF(AW$22&gt;D179,MIN(AW$22-D179,D$22*$K$22*$N$22,ROUNDUP((AW$22-D179)/$I$22,0)*$N$22),0))</f>
        <v>0</v>
      </c>
      <c r="AP180">
        <f>+IF(E179&lt;MasterMenu!$I$36,0,IF(AX$22&gt;E179,MIN(AX$22-E179,E$22*$K$22*$N$22,ROUNDUP((AX$22-E179)/$I$22,0)*$N$22),0))</f>
        <v>0</v>
      </c>
      <c r="AQ180">
        <f>+IF(F179&lt;MasterMenu!$I$36,0,IF(AY$22&gt;F179,MIN(AY$22-F179,F$22*$K$22*$N$22,ROUNDUP((AY$22-F179)/$I$22,0)*$N$22),0))</f>
        <v>0</v>
      </c>
      <c r="AR180">
        <f>+IF(G179&lt;MasterMenu!$I$36,0,IF(AZ$22&gt;G179,MIN(AZ$22-G179,G$22*$K$22*$N$22,ROUNDUP((AZ$22-G179)/$I$22,0)*$N$22),0))</f>
        <v>0</v>
      </c>
    </row>
    <row r="181" spans="1:44" ht="16.5" thickBot="1" x14ac:dyDescent="0.3">
      <c r="A181" s="6" t="s">
        <v>13</v>
      </c>
      <c r="B181" s="183">
        <f>+MAX(0,MIN(MasterMenu!$M$34,B180+B179))</f>
        <v>0</v>
      </c>
      <c r="C181" s="185">
        <f>+MAX(0,MIN(MasterMenu!$M$34,C180+C179))</f>
        <v>0</v>
      </c>
      <c r="D181" s="185">
        <f>+MAX(0,MIN(MasterMenu!$M$34,D180+D179))</f>
        <v>0</v>
      </c>
      <c r="E181" s="185">
        <f>+MAX(0,MIN(MasterMenu!$M$34,E180+E179))</f>
        <v>0</v>
      </c>
      <c r="F181" s="185">
        <f>+MAX(0,MIN(MasterMenu!$M$34,F180+F179))</f>
        <v>0</v>
      </c>
      <c r="G181" s="185">
        <f>+MAX(0,MIN(MasterMenu!$M$34,G180+G179))</f>
        <v>0</v>
      </c>
      <c r="H181" s="185">
        <f t="shared" si="69"/>
        <v>0</v>
      </c>
      <c r="I181" s="404"/>
      <c r="AM181">
        <f>SUM(AM174:AM180)</f>
        <v>0</v>
      </c>
      <c r="AN181">
        <f t="shared" ref="AN181" si="70">SUM(AN174:AN180)</f>
        <v>0</v>
      </c>
      <c r="AO181">
        <f t="shared" ref="AO181" si="71">SUM(AO174:AO180)</f>
        <v>0</v>
      </c>
      <c r="AP181">
        <f t="shared" ref="AP181" si="72">SUM(AP174:AP180)</f>
        <v>0</v>
      </c>
      <c r="AQ181">
        <f t="shared" ref="AQ181" si="73">SUM(AQ174:AQ180)</f>
        <v>0</v>
      </c>
      <c r="AR181">
        <f t="shared" ref="AR181" si="74">SUM(AR174:AR180)</f>
        <v>0</v>
      </c>
    </row>
    <row r="182" spans="1:44" ht="16.5" thickBot="1" x14ac:dyDescent="0.3">
      <c r="A182" s="140" t="s">
        <v>13</v>
      </c>
      <c r="B182" s="237">
        <f>+MIN(B181+B177,MasterMenu!$M$19)</f>
        <v>0</v>
      </c>
      <c r="C182" s="238">
        <f>+MIN(C181+C177,MasterMenu!$M$19)</f>
        <v>0</v>
      </c>
      <c r="D182" s="238">
        <f>+MIN(D181+D177,MasterMenu!$M$19)</f>
        <v>0</v>
      </c>
      <c r="E182" s="238">
        <f>+MIN(E181+E177,MasterMenu!$M$19)</f>
        <v>0</v>
      </c>
      <c r="F182" s="238">
        <f>+MIN(F181+F177,MasterMenu!$M$19)</f>
        <v>0</v>
      </c>
      <c r="G182" s="238">
        <f>+MIN(G181+G177,MasterMenu!$M$19)</f>
        <v>0</v>
      </c>
      <c r="H182" s="239">
        <f>SUM(B182:G182)</f>
        <v>0</v>
      </c>
      <c r="I182" s="233">
        <f>+MIN(H182,MasterMenu!$M$20)</f>
        <v>0</v>
      </c>
    </row>
    <row r="183" spans="1:44" x14ac:dyDescent="0.25">
      <c r="A183" s="140"/>
      <c r="B183" s="189"/>
      <c r="C183" s="190"/>
      <c r="D183" s="190"/>
      <c r="E183" s="190"/>
      <c r="F183" s="190"/>
      <c r="G183" s="191"/>
      <c r="H183" s="192" t="s">
        <v>131</v>
      </c>
      <c r="I183" s="240">
        <f>+Totalmedcosts+TotalRXCost</f>
        <v>0</v>
      </c>
    </row>
    <row r="184" spans="1:44" x14ac:dyDescent="0.25">
      <c r="A184" s="140"/>
      <c r="B184" s="189"/>
      <c r="C184" s="190"/>
      <c r="D184" s="190"/>
      <c r="E184" s="190"/>
      <c r="F184" s="190"/>
      <c r="G184" s="189"/>
      <c r="H184" s="193" t="s">
        <v>132</v>
      </c>
      <c r="I184" s="241">
        <f>+MIN(MasterMenu!M$20,I182)</f>
        <v>0</v>
      </c>
      <c r="J184" s="231">
        <f>MasterMenu!M$20</f>
        <v>12700</v>
      </c>
      <c r="L184" t="str">
        <f>+IF(I184&gt;J184,"Error","ok")</f>
        <v>ok</v>
      </c>
    </row>
    <row r="185" spans="1:44" ht="16.5" thickBot="1" x14ac:dyDescent="0.3">
      <c r="A185" s="140"/>
      <c r="B185" s="194"/>
      <c r="C185" s="195"/>
      <c r="D185" s="195"/>
      <c r="E185" s="195"/>
      <c r="F185" s="195"/>
      <c r="G185" s="194"/>
      <c r="H185" s="196" t="s">
        <v>133</v>
      </c>
      <c r="I185" s="242">
        <f>+I183-I184</f>
        <v>0</v>
      </c>
    </row>
    <row r="187" spans="1:44" ht="16.5" thickBot="1" x14ac:dyDescent="0.3"/>
    <row r="188" spans="1:44" ht="36" x14ac:dyDescent="0.4">
      <c r="A188" s="264" t="s">
        <v>184</v>
      </c>
      <c r="B188" s="394" t="str">
        <f>MasterMenu!N2</f>
        <v>MEC $9000</v>
      </c>
      <c r="C188" s="395"/>
      <c r="D188" s="395"/>
      <c r="E188" s="395"/>
      <c r="F188" s="395"/>
      <c r="G188" s="395"/>
      <c r="H188" s="178" t="s">
        <v>14</v>
      </c>
      <c r="I188" s="179" t="s">
        <v>93</v>
      </c>
    </row>
    <row r="189" spans="1:44" x14ac:dyDescent="0.25">
      <c r="A189" s="140" t="s">
        <v>129</v>
      </c>
      <c r="B189" s="180"/>
      <c r="C189" s="181"/>
      <c r="D189" s="181"/>
      <c r="E189" s="181"/>
      <c r="F189" s="181"/>
      <c r="G189" s="181"/>
      <c r="H189" s="181"/>
      <c r="I189" s="182"/>
      <c r="M189" s="80"/>
    </row>
    <row r="190" spans="1:44" x14ac:dyDescent="0.25">
      <c r="A190" s="4" t="s">
        <v>8</v>
      </c>
      <c r="B190" s="183">
        <f>+MIN(SUMPRODUCT(B$3:B$11,$I$3:$I$11)-EREE*MasterMenu!$N$30,MasterMenu!$N$21)</f>
        <v>0</v>
      </c>
      <c r="C190" s="185">
        <f>+MIN(SUMPRODUCT(C$3:C$11,$I$3:$I$11)-ERSP*MasterMenu!$N$30,MasterMenu!$N$21)</f>
        <v>0</v>
      </c>
      <c r="D190" s="185">
        <f>+MIN(SUMPRODUCT(D$3:D$11,$I$3:$I$11)-_ERC1*MasterMenu!$N$30,MasterMenu!$N$21)</f>
        <v>0</v>
      </c>
      <c r="E190" s="185">
        <f>+MIN(SUMPRODUCT(E$3:E$11,$I$3:$I$11)-_ERC2*MasterMenu!$N$30,MasterMenu!$N$21)</f>
        <v>0</v>
      </c>
      <c r="F190" s="185">
        <f>+MIN(SUMPRODUCT(F$3:F$11,$I$3:$I$11)-_ERC3*MasterMenu!$N$30,MasterMenu!$N$21)</f>
        <v>0</v>
      </c>
      <c r="G190" s="185">
        <f>+MIN(SUMPRODUCT(G$3:G$11,$I$3:$I$11)-_ERC4*MasterMenu!$N$30,MasterMenu!$N$21)</f>
        <v>0</v>
      </c>
      <c r="H190" s="185">
        <f>SUM(B190:G190)</f>
        <v>0</v>
      </c>
      <c r="I190" s="186">
        <f>MIN(MasterMenu!N$22,H190)</f>
        <v>0</v>
      </c>
      <c r="M190" s="80"/>
    </row>
    <row r="191" spans="1:44" x14ac:dyDescent="0.25">
      <c r="A191" s="4" t="s">
        <v>9</v>
      </c>
      <c r="B191" s="183">
        <f>+HWCEE*MasterMenu!$N$26+EREE*MasterMenu!$N$30+TMEE*MasterMenu!$N$32+(_OVEE+MAX(B5-3,0))*MasterMenu!$N$27</f>
        <v>0</v>
      </c>
      <c r="C191" s="184">
        <f>+HWCSP*MasterMenu!$N$26+ERSP*MasterMenu!$N$30+TMSP*MasterMenu!$N$32+(_OVSP+MAX(C5-3,0))*MasterMenu!$N$27</f>
        <v>0</v>
      </c>
      <c r="D191" s="184">
        <f>+HWCC1*MasterMenu!$N$26+_ERC1*MasterMenu!$N$30+_TMC1*MasterMenu!$N$32+(_OVCH1+MAX(D5-3,0))*MasterMenu!$N$27</f>
        <v>0</v>
      </c>
      <c r="E191" s="184">
        <f>+HWCC2*MasterMenu!$N$26+_ERC2*MasterMenu!$N$30+_TMC2*MasterMenu!$N$32+(_OVCH2+MAX(E5-3,0))*MasterMenu!$N$27</f>
        <v>0</v>
      </c>
      <c r="F191" s="185">
        <f>+HWCC3*MasterMenu!$N$26+_ERC3*MasterMenu!$N$30+_TMC3*MasterMenu!$N$32+(_OVCH3+MAX(F5-3,0))*MasterMenu!$N$27</f>
        <v>0</v>
      </c>
      <c r="G191" s="184">
        <f>+HWCC4*MasterMenu!$N$26+_ERC4*MasterMenu!$N$30+_TMC4*MasterMenu!$N$32+(_OVCH4+MAX(F5-3,0))*MasterMenu!$N$27</f>
        <v>0</v>
      </c>
      <c r="H191" s="185">
        <f>SUM(B191:G191)</f>
        <v>0</v>
      </c>
      <c r="I191" s="396">
        <f>+MIN(H193,MasterMenu!N$24)</f>
        <v>0</v>
      </c>
      <c r="J191" s="227" t="s">
        <v>148</v>
      </c>
      <c r="K191" s="227"/>
      <c r="M191" s="80"/>
      <c r="AM191">
        <f>+IF(B196&lt;MasterMenu!$I$36,0,IF(AU$16&gt;B196,MIN(AU$16-B196,B$16*$K$16*$N$16,ROUNDUP((AU$16-B196)/$I$16,0)*$N$16),0))</f>
        <v>0</v>
      </c>
      <c r="AN191">
        <f>+IF(C196&lt;MasterMenu!$I$36,0,IF(AV$16&gt;C196,MIN(AV$16-C196,C$16*$K$16*$N$16,ROUNDUP((AV$16-C196)/$I$16,0)*$N$16),0))</f>
        <v>0</v>
      </c>
      <c r="AO191">
        <f>+IF(D196&lt;MasterMenu!$I$36,0,IF(AW$16&gt;D196,MIN(AW$16-D196,D$16*$K$16*$N$16,ROUNDUP((AW$16-D196)/$I$16,0)*$N$16),0))</f>
        <v>0</v>
      </c>
      <c r="AP191">
        <f>+IF(E196&lt;MasterMenu!$I$36,0,IF(AX$16&gt;E196,MIN(AX$16-E196,E$16*$K$16*$N$16,ROUNDUP((AX$16-E196)/$I$16,0)*$N$16),0))</f>
        <v>0</v>
      </c>
      <c r="AQ191">
        <f>+IF(F196&lt;MasterMenu!$I$36,0,IF(AY$16&gt;F196,MIN(AY$16-F196,F$16*$K$16*$N$16,ROUNDUP((AY$16-F196)/$I$16,0)*$N$16),0))</f>
        <v>0</v>
      </c>
      <c r="AR191">
        <f>+IF(G196&lt;MasterMenu!$I$36,0,IF(AZ$16&gt;G196,MIN(AZ$16-G196,G$16*$K$16*$N$16,ROUNDUP((AZ$16-G196)/$I$16,0)*$N$16),0))</f>
        <v>0</v>
      </c>
    </row>
    <row r="192" spans="1:44" x14ac:dyDescent="0.25">
      <c r="A192" s="4" t="s">
        <v>10</v>
      </c>
      <c r="B192" s="183">
        <f>++MAX(0,(SUMPRODUCT(B$3:B$11,$I$3:$I$11)-B190-EREE*MasterMenu!$N$30)*MasterMenu!$N$28)</f>
        <v>0</v>
      </c>
      <c r="C192" s="184">
        <f>++MAX(0,(SUMPRODUCT(C$3:C$11,$I$3:$I$11)-C190-ERSP*MasterMenu!$N$30)*MasterMenu!$N$28)</f>
        <v>0</v>
      </c>
      <c r="D192" s="184">
        <f>++MAX(0,(SUMPRODUCT(D$3:D$11,$I$3:$I$11)-D190-_ERC1*MasterMenu!$N$30)*MasterMenu!$N$28)</f>
        <v>0</v>
      </c>
      <c r="E192" s="184">
        <f>++MAX(0,(SUMPRODUCT(E$3:E$11,$I$3:$I$11)-E190-_ERC2*MasterMenu!$N$30)*MasterMenu!$N$28)</f>
        <v>0</v>
      </c>
      <c r="F192" s="184">
        <f>++MAX(0,(SUMPRODUCT(F$3:F$11,$I$3:$I$11)-F190-_ERC3*MasterMenu!$N$30)*MasterMenu!$N$28)</f>
        <v>0</v>
      </c>
      <c r="G192" s="184">
        <f>++MAX(0,(SUMPRODUCT(G$3:G$11,$I$3:$I$11)-G190-_ERC4*MasterMenu!$N$30)*MasterMenu!$N$28)</f>
        <v>0</v>
      </c>
      <c r="H192" s="185">
        <f>SUM(B192:G192)</f>
        <v>0</v>
      </c>
      <c r="I192" s="396"/>
      <c r="M192" s="80"/>
      <c r="AM192">
        <f>+IF(B196&lt;MasterMenu!$I$36,0,IF(AU$17&gt;B196,MIN(AU$17-B196,B$17*$K$17*$N$17,ROUNDUP((AU$17-B196)/$I$17,0)*$N$17),0))</f>
        <v>0</v>
      </c>
      <c r="AN192">
        <f>+IF(C196&lt;MasterMenu!$I$36,0,IF(AV$17&gt;C196,MIN(AV$17-C196,C$17*$K$17*$N$17,ROUNDUP((AV$17-C196)/$I$17,0)*$N$17),0))</f>
        <v>0</v>
      </c>
      <c r="AO192">
        <f>+IF(D196&lt;MasterMenu!$I$36,0,IF(AW$17&gt;D196,MIN(AW$17-D196,D$17*$K$17*$N$17,ROUNDUP((AW$17-D196)/$I$17,0)*$N$17),0))</f>
        <v>0</v>
      </c>
      <c r="AP192">
        <f>+IF(E196&lt;MasterMenu!$I$36,0,IF(AX$17&gt;E196,MIN(AX$17-E196,E$17*$K$17*$N$17,ROUNDUP((AX$17-E196)/$I$17,0)*$N$17),0))</f>
        <v>0</v>
      </c>
      <c r="AQ192">
        <f>+IF(F196&lt;MasterMenu!$I$36,0,IF(AY$17&gt;F196,MIN(AY$17-F196,F$17*$K$17*$N$17,ROUNDUP((AY$17-F196)/$I$17,0)*$N$17),0))</f>
        <v>0</v>
      </c>
      <c r="AR192">
        <f>+IF(G196&lt;MasterMenu!$I$36,0,IF(AZ$17&gt;G196,MIN(AZ$17-G196,G$17*$K$17*$N$17,ROUNDUP((AZ$17-G196)/$I$17,0)*$N$17),0))</f>
        <v>0</v>
      </c>
    </row>
    <row r="193" spans="1:44" x14ac:dyDescent="0.25">
      <c r="A193" s="6" t="s">
        <v>12</v>
      </c>
      <c r="B193" s="187">
        <f>+MIN((+B192+B191),MasterMenu!$N$19-B190)</f>
        <v>0</v>
      </c>
      <c r="C193" s="188">
        <f>+MIN((+C192+C191),MasterMenu!$N$19-C190)</f>
        <v>0</v>
      </c>
      <c r="D193" s="188">
        <f>+MIN((+D192+D191),MasterMenu!$N$19-D190)</f>
        <v>0</v>
      </c>
      <c r="E193" s="188">
        <f>+MIN((+E192+E191),MasterMenu!$N$19-E190)</f>
        <v>0</v>
      </c>
      <c r="F193" s="188">
        <f>+MIN((+F192+F191),MasterMenu!$N$19-F190)</f>
        <v>0</v>
      </c>
      <c r="G193" s="188">
        <f>+MIN((+G192+G191),MasterMenu!$N$19-G190)</f>
        <v>0</v>
      </c>
      <c r="H193" s="185">
        <f>SUM(B193:G193)</f>
        <v>0</v>
      </c>
      <c r="I193" s="396"/>
      <c r="AM193">
        <f>+IF(B196&lt;MasterMenu!$I$36,0,IF(AU$18&gt;B196,MIN(AU$18-B196,B$18*$K$18*$N$18,ROUNDUP((AU$18-B196)/$I$18,0)*$N$18),0))</f>
        <v>0</v>
      </c>
      <c r="AN193">
        <f>+IF(C196&lt;MasterMenu!$I$36,0,IF(AV$18&gt;C196,MIN(AV$18-C196,C$18*$K$18*$N$18,ROUNDUP((AV$18-C196)/$I$18,0)*$N$18),0))</f>
        <v>0</v>
      </c>
      <c r="AO193">
        <f>+IF(D196&lt;MasterMenu!$I$36,0,IF(AW$18&gt;D196,MIN(AW$18-D196,D$18*$K$18*$N$18,ROUNDUP((AW$18-D196)/$I$18,0)*$N$18),0))</f>
        <v>0</v>
      </c>
      <c r="AP193">
        <f>+IF(E196&lt;MasterMenu!$I$36,0,IF(AX$18&gt;E196,MIN(AX$18-E196,E$18*$K$18*$N$18,ROUNDUP((AX$18-E196)/$I$18,0)*$N$18),0))</f>
        <v>0</v>
      </c>
      <c r="AQ193">
        <f>+IF(F196&lt;MasterMenu!$I$36,0,IF(AY$18&gt;F196,MIN(AY$18-F196,F$18*$K$18*$N$18,ROUNDUP((AY$18-F196)/$I$18,0)*$N$18),0))</f>
        <v>0</v>
      </c>
      <c r="AR193">
        <f>+IF(G196&lt;MasterMenu!$I$36,0,IF(AZ$18&gt;G196,MIN(AZ$18-G196,G$18*$K$18*$N$18,ROUNDUP((AZ$18-G196)/$I$18,0)*$N$18),0))</f>
        <v>0</v>
      </c>
    </row>
    <row r="194" spans="1:44" ht="16.5" thickBot="1" x14ac:dyDescent="0.3">
      <c r="A194" s="6" t="s">
        <v>13</v>
      </c>
      <c r="B194" s="187">
        <f>+MIN((B193+B190),MasterMenu!$N$19)</f>
        <v>0</v>
      </c>
      <c r="C194" s="188">
        <f>+MIN((C193+C190),MasterMenu!$N$19)</f>
        <v>0</v>
      </c>
      <c r="D194" s="188">
        <f>+MIN((D193+D190),MasterMenu!$N$19)</f>
        <v>0</v>
      </c>
      <c r="E194" s="188">
        <f>+MIN((E193+E190),MasterMenu!$N$19)</f>
        <v>0</v>
      </c>
      <c r="F194" s="188">
        <f>+MIN((F193+F190),MasterMenu!$N$19)</f>
        <v>0</v>
      </c>
      <c r="G194" s="188">
        <f>+MIN((G193+G190),MasterMenu!$N$19)</f>
        <v>0</v>
      </c>
      <c r="H194" s="185">
        <f>SUM(B194:G194)</f>
        <v>0</v>
      </c>
      <c r="I194" s="186">
        <f>+MIN((I190+I191),MasterMenu!N$20,H194,Totalmedcosts)</f>
        <v>0</v>
      </c>
      <c r="AM194">
        <f>+IF(B196&lt;MasterMenu!$I$36,0,IF(AU$19&gt;B196,MIN(AU$19-B196,B$19*$K$19*$N$19,ROUNDUP((AU$19-B196)/$I$19,0)*$N$19),0))</f>
        <v>0</v>
      </c>
      <c r="AN194">
        <f>+IF(C196&lt;MasterMenu!$I$36,0,IF(AV$19&gt;C196,MIN(AV$19-C196,C$19*$K$19*$N$19,ROUNDUP((AV$19-C196)/$I$19,0)*$N$19),0))</f>
        <v>0</v>
      </c>
      <c r="AO194">
        <f>+IF(D196&lt;MasterMenu!$I$36,0,IF(AW$19&gt;D196,MIN(AW$19-D196,D$19*$K$19*$N$19,ROUNDUP((AW$19-D196)/$I$19,0)*$N$19),0))</f>
        <v>0</v>
      </c>
      <c r="AP194">
        <f>+IF(E196&lt;MasterMenu!$I$36,0,IF(AX$19&gt;E196,MIN(AX$19-E196,E$19*$K$19*$N$19,ROUNDUP((AX$19-E196)/$I$19,0)*$N$19),0))</f>
        <v>0</v>
      </c>
      <c r="AQ194">
        <f>+IF(F196&lt;MasterMenu!$I$36,0,IF(AY$19&gt;F196,MIN(AY$19-F196,F$19*$K$19*$N$19,ROUNDUP((AY$19-F196)/$I$19,0)*$N$19),0))</f>
        <v>0</v>
      </c>
      <c r="AR194">
        <f>+IF(G196&lt;MasterMenu!$I$36,0,IF(AZ$19&gt;G196,MIN(AZ$19-G196,G$19*$K$19*$N$19,ROUNDUP((AZ$19-F196)/$I$19,0)*$N$19),0))</f>
        <v>0</v>
      </c>
    </row>
    <row r="195" spans="1:44" x14ac:dyDescent="0.25">
      <c r="A195" s="140" t="s">
        <v>130</v>
      </c>
      <c r="B195" s="397"/>
      <c r="C195" s="398"/>
      <c r="D195" s="398"/>
      <c r="E195" s="398"/>
      <c r="F195" s="398"/>
      <c r="G195" s="398"/>
      <c r="H195" s="398"/>
      <c r="I195" s="399"/>
      <c r="AM195">
        <f>+IF(B196&lt;MasterMenu!$I$36,0,IF(AU$20&gt;B196,MIN(AU$20-B196,B$20*$K$20*$N$20,ROUNDUP((AU$20-B196)/$I$20,0)*$N$20),0))</f>
        <v>0</v>
      </c>
      <c r="AN195">
        <f>+IF(C196&lt;MasterMenu!$I$36,0,IF(AV$20&gt;C196,MIN(AV$20-C196,C$20*$K$20*$N$20,ROUNDUP((AV$20-C$32)/$I$20,0)*$N$20),0))</f>
        <v>0</v>
      </c>
      <c r="AO195">
        <f>+IF(D196&lt;MasterMenu!$I$36,0,IF(AW$20&gt;D196,MIN(AW$20-D196,D$20*$K$20*$N$20,ROUNDUP((AW$20-D196)/$I$20,0)*$N$20),0))</f>
        <v>0</v>
      </c>
      <c r="AP195">
        <f>+IF(E196&lt;MasterMenu!$I$36,0,IF(AX$20&gt;E196,MIN(AX$20-E196,E$20*$K$20*$N$20,ROUNDUP((AX$20-E196)/$I$20,0)*$N$20),0))</f>
        <v>0</v>
      </c>
      <c r="AQ195">
        <f>+IF(F196&lt;MasterMenu!$I$36,0,IF(AY$20&gt;F196,MIN(AY$20-F196,F$20*$K$20*$N$20,ROUNDUP((AY$20-F196)/$I$20,0)*$N$20),0))</f>
        <v>0</v>
      </c>
      <c r="AR195">
        <f>+IF(G196&lt;MasterMenu!$I$36,0,IF(AZ$20&gt;G196,MIN(AZ$20-G196,G$20*$K$20*$N$20,ROUNDUP((AZ$20-G196)/$I$20,0)*$N$20),0))</f>
        <v>0</v>
      </c>
    </row>
    <row r="196" spans="1:44" x14ac:dyDescent="0.25">
      <c r="A196" s="4" t="s">
        <v>8</v>
      </c>
      <c r="B196" s="183">
        <f>+MIN(MasterMenu!$N$36-B190,(AM$23))</f>
        <v>0</v>
      </c>
      <c r="C196" s="185">
        <f>+MIN(MasterMenu!$N$36-C190,(AN$23))</f>
        <v>0</v>
      </c>
      <c r="D196" s="185">
        <f>+MIN(MasterMenu!$N$36-D190,(AO$23))</f>
        <v>0</v>
      </c>
      <c r="E196" s="185">
        <f>+MIN(MasterMenu!$N$36-E190,(AP$23))</f>
        <v>0</v>
      </c>
      <c r="F196" s="185">
        <f>+MIN(MasterMenu!$N$36-F190,(AQ$23))</f>
        <v>0</v>
      </c>
      <c r="G196" s="185">
        <f>+MIN(MasterMenu!$N$36-G190,(AR$23))</f>
        <v>0</v>
      </c>
      <c r="H196" s="185">
        <f>SUM(B196:G196)</f>
        <v>0</v>
      </c>
      <c r="I196" s="402">
        <f>+MIN(MasterMenu!$N$35,H198)</f>
        <v>0</v>
      </c>
      <c r="AM196">
        <f>+IF(B196&lt;MasterMenu!$I$36,0,IF(AU$21&gt;B196,MIN(AU$21-B196,B$21*$K$21*$N$21,ROUNDUP((AU$21-B196)/$I$21,0)*$N$21),0))</f>
        <v>0</v>
      </c>
      <c r="AN196">
        <f>+IF(C196&lt;MasterMenu!$I$36,0,IF(AV$21&gt;C196,MIN(AV$21-C196,C$21*$K$21*$N$21,ROUNDUP((AV$21-C196)/$I$21,0)*$N$21),0))</f>
        <v>0</v>
      </c>
      <c r="AO196">
        <f>+IF(D196&lt;MasterMenu!$I$36,0,IF(AW$21&gt;D196,MIN(AW$21-D196,D$21*$K$21*$N$21,ROUNDUP((AW$21-D196)/$I$21,0)*$N$21),0))</f>
        <v>0</v>
      </c>
      <c r="AP196">
        <f>+IF(E196&lt;MasterMenu!$I$36,0,IF(AX$21&gt;E196,MIN(AX$21-E196,E$21*$K$21*$N$21,ROUNDUP((AX$21-E196)/$I$21,0)*$N$21),0))</f>
        <v>0</v>
      </c>
      <c r="AQ196">
        <f>+IF(F196&lt;MasterMenu!$I$36,0,IF(AY$21&gt;F196,MIN(AY$21-F196,F$21*$K$21*$N$21,ROUNDUP((AY$21-F196)/$I$21,0)*$N$21),0))</f>
        <v>0</v>
      </c>
      <c r="AR196">
        <f>+IF(G196&lt;MasterMenu!$I$36,0,IF(AZ$21&gt;G196,MIN(AZ$21-G196,G$21*$K$21*$N$21,ROUNDUP((AZ$21-G196)/$I$21,0)*$N$21),0))</f>
        <v>0</v>
      </c>
    </row>
    <row r="197" spans="1:44" x14ac:dyDescent="0.25">
      <c r="A197" s="4" t="s">
        <v>9</v>
      </c>
      <c r="B197" s="183">
        <f t="shared" ref="B197" si="75">+IF(B196=0,AE$23,AM198)</f>
        <v>0</v>
      </c>
      <c r="C197" s="185">
        <f t="shared" ref="C197" si="76">+IF(C196=0,AF$23,AN198)</f>
        <v>0</v>
      </c>
      <c r="D197" s="185">
        <f t="shared" ref="D197" si="77">+IF(D196=0,AG$23,AO198)</f>
        <v>0</v>
      </c>
      <c r="E197" s="185">
        <f t="shared" ref="E197" si="78">+IF(E196=0,AH$23,AP198)</f>
        <v>0</v>
      </c>
      <c r="F197" s="185">
        <f t="shared" ref="F197" si="79">+IF(F196=0,AI$23,AQ198)</f>
        <v>0</v>
      </c>
      <c r="G197" s="185">
        <f t="shared" ref="G197" si="80">+IF(G196=0,AJ$23,AR198)</f>
        <v>0</v>
      </c>
      <c r="H197" s="185">
        <f t="shared" ref="H197:H198" si="81">SUM(B197:G197)</f>
        <v>0</v>
      </c>
      <c r="I197" s="403"/>
      <c r="AM197">
        <f>+IF(B196&lt;MasterMenu!$I$36,0,IF(AU$22&gt;B196,MIN(AU$22-B196,B$22*$K$22*$N$22,ROUNDUP((AU$22-B196)/$I$22,0)*$N$22),0))</f>
        <v>0</v>
      </c>
      <c r="AN197">
        <f>+IF(C196&lt;MasterMenu!$I$36,0,IF(AV$22&gt;C196,MIN(AV$22-C196,C$22*$K$22*$N$22,ROUNDUP((AV$22-C196)/$I$22,0)*$N$22),0))</f>
        <v>0</v>
      </c>
      <c r="AO197">
        <f>+IF(D196&lt;MasterMenu!$I$36,0,IF(AW$22&gt;D196,MIN(AW$22-D196,D$22*$K$22*$N$22,ROUNDUP((AW$22-D196)/$I$22,0)*$N$22),0))</f>
        <v>0</v>
      </c>
      <c r="AP197">
        <f>+IF(E196&lt;MasterMenu!$I$36,0,IF(AX$22&gt;E196,MIN(AX$22-E196,E$22*$K$22*$N$22,ROUNDUP((AX$22-E196)/$I$22,0)*$N$22),0))</f>
        <v>0</v>
      </c>
      <c r="AQ197">
        <f>+IF(F196&lt;MasterMenu!$I$36,0,IF(AY$22&gt;F196,MIN(AY$22-F196,F$22*$K$22*$N$22,ROUNDUP((AY$22-F196)/$I$22,0)*$N$22),0))</f>
        <v>0</v>
      </c>
      <c r="AR197">
        <f>+IF(G196&lt;MasterMenu!$I$36,0,IF(AZ$22&gt;G196,MIN(AZ$22-G196,G$22*$K$22*$N$22,ROUNDUP((AZ$22-G196)/$I$22,0)*$N$22),0))</f>
        <v>0</v>
      </c>
    </row>
    <row r="198" spans="1:44" ht="16.5" thickBot="1" x14ac:dyDescent="0.3">
      <c r="A198" s="6" t="s">
        <v>13</v>
      </c>
      <c r="B198" s="183">
        <f>+MAX(0,MIN(MasterMenu!$N$34,B197+B196))</f>
        <v>0</v>
      </c>
      <c r="C198" s="185">
        <f>+MAX(0,MIN(MasterMenu!$N$34,C197+C196))</f>
        <v>0</v>
      </c>
      <c r="D198" s="185">
        <f>+MAX(0,MIN(MasterMenu!$N$34,D197+D196))</f>
        <v>0</v>
      </c>
      <c r="E198" s="185">
        <f>+MAX(0,MIN(MasterMenu!$N$34,E197+E196))</f>
        <v>0</v>
      </c>
      <c r="F198" s="185">
        <f>+MAX(0,MIN(MasterMenu!$N$34,F197+F196))</f>
        <v>0</v>
      </c>
      <c r="G198" s="185">
        <f>+MAX(0,MIN(MasterMenu!$N$34,G197+G196))</f>
        <v>0</v>
      </c>
      <c r="H198" s="185">
        <f t="shared" si="81"/>
        <v>0</v>
      </c>
      <c r="I198" s="404"/>
      <c r="AM198">
        <f>SUM(AM191:AM197)</f>
        <v>0</v>
      </c>
      <c r="AN198">
        <f t="shared" ref="AN198:AR198" si="82">SUM(AN191:AN197)</f>
        <v>0</v>
      </c>
      <c r="AO198">
        <f t="shared" si="82"/>
        <v>0</v>
      </c>
      <c r="AP198">
        <f t="shared" si="82"/>
        <v>0</v>
      </c>
      <c r="AQ198">
        <f t="shared" si="82"/>
        <v>0</v>
      </c>
      <c r="AR198">
        <f t="shared" si="82"/>
        <v>0</v>
      </c>
    </row>
    <row r="199" spans="1:44" ht="16.5" thickBot="1" x14ac:dyDescent="0.3">
      <c r="A199" s="140" t="s">
        <v>13</v>
      </c>
      <c r="B199" s="237">
        <f>+MIN(B198+B194,MasterMenu!$N$19)</f>
        <v>0</v>
      </c>
      <c r="C199" s="238">
        <f>+MIN(C198+C194,MasterMenu!$N$19)</f>
        <v>0</v>
      </c>
      <c r="D199" s="238">
        <f>+MIN(D198+D194,MasterMenu!$N$19)</f>
        <v>0</v>
      </c>
      <c r="E199" s="238">
        <f>+MIN(E198+E194,MasterMenu!$N$19)</f>
        <v>0</v>
      </c>
      <c r="F199" s="238">
        <f>+MIN(F198+F194,MasterMenu!$N$19)</f>
        <v>0</v>
      </c>
      <c r="G199" s="238">
        <f>+MIN(G198+G194,MasterMenu!$M$19)</f>
        <v>0</v>
      </c>
      <c r="H199" s="239">
        <f>SUM(B199:G199)</f>
        <v>0</v>
      </c>
      <c r="I199" s="233">
        <f>+MIN(H199,MasterMenu!$N$20)</f>
        <v>0</v>
      </c>
    </row>
    <row r="200" spans="1:44" x14ac:dyDescent="0.25">
      <c r="A200" s="140"/>
      <c r="B200" s="189"/>
      <c r="C200" s="190"/>
      <c r="D200" s="190"/>
      <c r="E200" s="190"/>
      <c r="F200" s="190"/>
      <c r="G200" s="191"/>
      <c r="H200" s="192" t="s">
        <v>131</v>
      </c>
      <c r="I200" s="240">
        <f>+Totalmedcosts+TotalRXCost</f>
        <v>0</v>
      </c>
    </row>
    <row r="201" spans="1:44" x14ac:dyDescent="0.25">
      <c r="A201" s="140"/>
      <c r="B201" s="189"/>
      <c r="C201" s="190"/>
      <c r="D201" s="190"/>
      <c r="E201" s="190"/>
      <c r="F201" s="190"/>
      <c r="G201" s="189"/>
      <c r="H201" s="193" t="s">
        <v>132</v>
      </c>
      <c r="I201" s="241">
        <f>+MIN(MasterMenu!N$20,I199)</f>
        <v>0</v>
      </c>
      <c r="J201" s="231">
        <f>MasterMenu!N$20</f>
        <v>18000</v>
      </c>
      <c r="L201" t="str">
        <f>+IF(I201&gt;J201,"Error","ok")</f>
        <v>ok</v>
      </c>
    </row>
    <row r="202" spans="1:44" ht="16.5" thickBot="1" x14ac:dyDescent="0.3">
      <c r="A202" s="140"/>
      <c r="B202" s="194"/>
      <c r="C202" s="195"/>
      <c r="D202" s="195"/>
      <c r="E202" s="195"/>
      <c r="F202" s="195"/>
      <c r="G202" s="194"/>
      <c r="H202" s="196" t="s">
        <v>133</v>
      </c>
      <c r="I202" s="242">
        <f>+I200-I201</f>
        <v>0</v>
      </c>
    </row>
  </sheetData>
  <mergeCells count="44">
    <mergeCell ref="B188:G188"/>
    <mergeCell ref="I191:I193"/>
    <mergeCell ref="B195:I195"/>
    <mergeCell ref="I196:I198"/>
    <mergeCell ref="I68:I69"/>
    <mergeCell ref="I116:I118"/>
    <mergeCell ref="I99:I101"/>
    <mergeCell ref="B108:G108"/>
    <mergeCell ref="I111:I113"/>
    <mergeCell ref="B115:I115"/>
    <mergeCell ref="B91:G91"/>
    <mergeCell ref="I94:I96"/>
    <mergeCell ref="B98:I98"/>
    <mergeCell ref="B75:G75"/>
    <mergeCell ref="I78:I80"/>
    <mergeCell ref="B82:I82"/>
    <mergeCell ref="I84:I85"/>
    <mergeCell ref="B50:I50"/>
    <mergeCell ref="I51:I53"/>
    <mergeCell ref="B59:G59"/>
    <mergeCell ref="I62:I64"/>
    <mergeCell ref="B66:I66"/>
    <mergeCell ref="B27:G27"/>
    <mergeCell ref="I30:I32"/>
    <mergeCell ref="B43:G43"/>
    <mergeCell ref="I46:I48"/>
    <mergeCell ref="I35:I37"/>
    <mergeCell ref="B34:I34"/>
    <mergeCell ref="B140:G140"/>
    <mergeCell ref="I143:I145"/>
    <mergeCell ref="B125:G125"/>
    <mergeCell ref="I128:I130"/>
    <mergeCell ref="B132:I132"/>
    <mergeCell ref="I134:I135"/>
    <mergeCell ref="B147:I147"/>
    <mergeCell ref="B156:G156"/>
    <mergeCell ref="I159:I161"/>
    <mergeCell ref="B163:I163"/>
    <mergeCell ref="I148:I150"/>
    <mergeCell ref="B171:G171"/>
    <mergeCell ref="I174:I176"/>
    <mergeCell ref="B178:I178"/>
    <mergeCell ref="I165:I166"/>
    <mergeCell ref="I179:I181"/>
  </mergeCells>
  <phoneticPr fontId="2" type="noConversion"/>
  <pageMargins left="0.17" right="0.17" top="1" bottom="1" header="0.5" footer="0.5"/>
  <pageSetup scale="4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O26"/>
  <sheetViews>
    <sheetView workbookViewId="0">
      <selection activeCell="A12" sqref="A12"/>
    </sheetView>
  </sheetViews>
  <sheetFormatPr defaultRowHeight="16.5" x14ac:dyDescent="0.3"/>
  <cols>
    <col min="1" max="1" width="29.28515625" bestFit="1" customWidth="1"/>
    <col min="2" max="2" width="12.5703125" bestFit="1" customWidth="1"/>
    <col min="3" max="9" width="12.5703125" style="75" customWidth="1"/>
  </cols>
  <sheetData>
    <row r="1" spans="1:9" x14ac:dyDescent="0.3">
      <c r="A1" s="20" t="s">
        <v>16</v>
      </c>
      <c r="B1" s="20" t="s">
        <v>77</v>
      </c>
      <c r="C1" s="75" t="s">
        <v>29</v>
      </c>
      <c r="D1" s="75" t="s">
        <v>30</v>
      </c>
      <c r="E1" s="75" t="s">
        <v>31</v>
      </c>
      <c r="F1" s="75" t="s">
        <v>32</v>
      </c>
      <c r="G1" s="75" t="s">
        <v>33</v>
      </c>
      <c r="H1" s="75" t="s">
        <v>34</v>
      </c>
      <c r="I1" s="75" t="s">
        <v>35</v>
      </c>
    </row>
    <row r="2" spans="1:9" x14ac:dyDescent="0.25">
      <c r="A2" s="91" t="s">
        <v>169</v>
      </c>
      <c r="B2" s="73" t="s">
        <v>42</v>
      </c>
      <c r="C2" s="77" t="s">
        <v>178</v>
      </c>
      <c r="D2" s="77" t="s">
        <v>179</v>
      </c>
      <c r="E2" s="77" t="s">
        <v>180</v>
      </c>
      <c r="F2" s="77" t="s">
        <v>172</v>
      </c>
      <c r="G2" s="77" t="s">
        <v>183</v>
      </c>
      <c r="H2" s="76"/>
      <c r="I2" s="77"/>
    </row>
    <row r="3" spans="1:9" x14ac:dyDescent="0.25">
      <c r="A3" s="91" t="s">
        <v>18</v>
      </c>
      <c r="B3" s="73" t="s">
        <v>42</v>
      </c>
      <c r="C3" s="77" t="s">
        <v>178</v>
      </c>
      <c r="D3" s="77" t="s">
        <v>179</v>
      </c>
      <c r="E3" s="77" t="s">
        <v>180</v>
      </c>
      <c r="F3" s="77" t="s">
        <v>170</v>
      </c>
      <c r="G3" s="77" t="s">
        <v>172</v>
      </c>
      <c r="H3" s="77" t="s">
        <v>183</v>
      </c>
      <c r="I3" s="77"/>
    </row>
    <row r="4" spans="1:9" x14ac:dyDescent="0.25">
      <c r="A4" s="91" t="s">
        <v>23</v>
      </c>
      <c r="B4" s="73" t="s">
        <v>42</v>
      </c>
      <c r="C4" s="76" t="s">
        <v>175</v>
      </c>
      <c r="D4" s="77" t="s">
        <v>178</v>
      </c>
      <c r="E4" s="77" t="s">
        <v>180</v>
      </c>
      <c r="F4" s="77" t="s">
        <v>170</v>
      </c>
      <c r="G4" s="77" t="s">
        <v>172</v>
      </c>
      <c r="H4" s="77" t="s">
        <v>183</v>
      </c>
      <c r="I4" s="77"/>
    </row>
    <row r="5" spans="1:9" x14ac:dyDescent="0.25">
      <c r="A5" s="91" t="s">
        <v>21</v>
      </c>
      <c r="B5" s="73" t="s">
        <v>50</v>
      </c>
      <c r="C5" s="77" t="s">
        <v>178</v>
      </c>
      <c r="D5" s="77" t="s">
        <v>179</v>
      </c>
      <c r="E5" s="77" t="s">
        <v>180</v>
      </c>
      <c r="F5" s="77" t="s">
        <v>170</v>
      </c>
      <c r="G5" s="77" t="s">
        <v>172</v>
      </c>
      <c r="H5" s="77" t="s">
        <v>183</v>
      </c>
      <c r="I5" s="77"/>
    </row>
    <row r="6" spans="1:9" x14ac:dyDescent="0.25">
      <c r="A6" s="91" t="s">
        <v>95</v>
      </c>
      <c r="B6" s="73" t="s">
        <v>42</v>
      </c>
      <c r="C6" s="76" t="s">
        <v>178</v>
      </c>
      <c r="D6" s="76" t="s">
        <v>180</v>
      </c>
      <c r="E6" s="77" t="s">
        <v>170</v>
      </c>
      <c r="F6" s="77" t="s">
        <v>172</v>
      </c>
      <c r="G6" s="77" t="s">
        <v>183</v>
      </c>
      <c r="H6" s="77"/>
      <c r="I6" s="77"/>
    </row>
    <row r="7" spans="1:9" x14ac:dyDescent="0.25">
      <c r="A7" s="91" t="s">
        <v>117</v>
      </c>
      <c r="B7" s="73" t="s">
        <v>46</v>
      </c>
      <c r="C7" s="76" t="s">
        <v>178</v>
      </c>
      <c r="D7" s="77" t="s">
        <v>179</v>
      </c>
      <c r="E7" s="76" t="s">
        <v>180</v>
      </c>
      <c r="F7" s="77" t="s">
        <v>172</v>
      </c>
      <c r="G7" s="77" t="s">
        <v>183</v>
      </c>
      <c r="H7" s="77"/>
      <c r="I7" s="77"/>
    </row>
    <row r="8" spans="1:9" x14ac:dyDescent="0.25">
      <c r="A8" s="91" t="s">
        <v>173</v>
      </c>
      <c r="B8" s="73" t="s">
        <v>42</v>
      </c>
      <c r="C8" s="76" t="s">
        <v>178</v>
      </c>
      <c r="D8" s="77" t="s">
        <v>179</v>
      </c>
      <c r="E8" s="76" t="s">
        <v>180</v>
      </c>
      <c r="F8" s="77" t="s">
        <v>172</v>
      </c>
      <c r="G8" s="77" t="s">
        <v>183</v>
      </c>
      <c r="H8" s="77"/>
      <c r="I8" s="77"/>
    </row>
    <row r="9" spans="1:9" x14ac:dyDescent="0.25">
      <c r="A9" s="91" t="s">
        <v>17</v>
      </c>
      <c r="B9" s="73" t="s">
        <v>42</v>
      </c>
      <c r="C9" s="76" t="s">
        <v>176</v>
      </c>
      <c r="D9" s="76" t="s">
        <v>175</v>
      </c>
      <c r="E9" s="77" t="s">
        <v>178</v>
      </c>
      <c r="F9" s="76" t="s">
        <v>180</v>
      </c>
      <c r="G9" s="77" t="s">
        <v>170</v>
      </c>
      <c r="H9" s="77" t="s">
        <v>172</v>
      </c>
      <c r="I9" s="77" t="s">
        <v>183</v>
      </c>
    </row>
    <row r="10" spans="1:9" x14ac:dyDescent="0.25">
      <c r="A10" s="91" t="s">
        <v>19</v>
      </c>
      <c r="B10" s="73" t="s">
        <v>42</v>
      </c>
      <c r="C10" s="77" t="s">
        <v>178</v>
      </c>
      <c r="D10" s="77" t="s">
        <v>181</v>
      </c>
      <c r="E10" s="77" t="s">
        <v>179</v>
      </c>
      <c r="F10" s="76" t="s">
        <v>180</v>
      </c>
      <c r="G10" s="77" t="s">
        <v>171</v>
      </c>
      <c r="H10" s="77" t="s">
        <v>172</v>
      </c>
      <c r="I10" s="77" t="s">
        <v>183</v>
      </c>
    </row>
    <row r="11" spans="1:9" x14ac:dyDescent="0.25">
      <c r="A11" s="91" t="s">
        <v>155</v>
      </c>
      <c r="B11" s="73" t="s">
        <v>42</v>
      </c>
      <c r="C11" s="77" t="s">
        <v>181</v>
      </c>
      <c r="D11" s="77" t="s">
        <v>179</v>
      </c>
      <c r="E11" s="76" t="s">
        <v>180</v>
      </c>
      <c r="F11" s="77" t="s">
        <v>172</v>
      </c>
      <c r="G11" s="77" t="s">
        <v>183</v>
      </c>
      <c r="H11" s="77"/>
      <c r="I11" s="77"/>
    </row>
    <row r="12" spans="1:9" x14ac:dyDescent="0.25">
      <c r="A12" s="91" t="s">
        <v>22</v>
      </c>
      <c r="B12" s="73" t="s">
        <v>42</v>
      </c>
      <c r="C12" s="77" t="s">
        <v>175</v>
      </c>
      <c r="D12" s="76" t="s">
        <v>178</v>
      </c>
      <c r="E12" s="76" t="s">
        <v>180</v>
      </c>
      <c r="F12" s="77" t="s">
        <v>170</v>
      </c>
      <c r="G12" s="77" t="s">
        <v>171</v>
      </c>
      <c r="H12" s="77" t="s">
        <v>172</v>
      </c>
      <c r="I12" s="77" t="s">
        <v>183</v>
      </c>
    </row>
    <row r="13" spans="1:9" x14ac:dyDescent="0.25">
      <c r="A13" s="91" t="s">
        <v>24</v>
      </c>
      <c r="B13" s="73" t="s">
        <v>42</v>
      </c>
      <c r="C13" s="77" t="s">
        <v>175</v>
      </c>
      <c r="D13" s="76" t="s">
        <v>178</v>
      </c>
      <c r="E13" s="77" t="s">
        <v>179</v>
      </c>
      <c r="F13" s="76" t="s">
        <v>180</v>
      </c>
      <c r="G13" s="77" t="s">
        <v>170</v>
      </c>
      <c r="H13" s="77" t="s">
        <v>172</v>
      </c>
      <c r="I13" s="77" t="s">
        <v>183</v>
      </c>
    </row>
    <row r="14" spans="1:9" x14ac:dyDescent="0.25">
      <c r="A14" s="91" t="s">
        <v>97</v>
      </c>
      <c r="B14" s="73" t="s">
        <v>42</v>
      </c>
      <c r="C14" s="77" t="s">
        <v>175</v>
      </c>
      <c r="D14" s="77" t="s">
        <v>178</v>
      </c>
      <c r="E14" s="77" t="s">
        <v>179</v>
      </c>
      <c r="F14" s="76" t="s">
        <v>180</v>
      </c>
      <c r="G14" s="77" t="s">
        <v>171</v>
      </c>
      <c r="H14" s="77" t="s">
        <v>172</v>
      </c>
      <c r="I14" s="77" t="s">
        <v>183</v>
      </c>
    </row>
    <row r="15" spans="1:9" x14ac:dyDescent="0.25">
      <c r="A15" s="91" t="s">
        <v>98</v>
      </c>
      <c r="B15" s="73" t="s">
        <v>42</v>
      </c>
      <c r="C15" s="77" t="s">
        <v>175</v>
      </c>
      <c r="D15" s="76" t="s">
        <v>178</v>
      </c>
      <c r="E15" s="77" t="s">
        <v>179</v>
      </c>
      <c r="F15" s="76" t="s">
        <v>180</v>
      </c>
      <c r="G15" s="77" t="s">
        <v>183</v>
      </c>
      <c r="H15" s="77"/>
      <c r="I15" s="77"/>
    </row>
    <row r="16" spans="1:9" x14ac:dyDescent="0.25">
      <c r="A16" s="91" t="s">
        <v>99</v>
      </c>
      <c r="B16" s="73" t="s">
        <v>42</v>
      </c>
      <c r="C16" s="77" t="s">
        <v>178</v>
      </c>
      <c r="D16" s="76" t="s">
        <v>180</v>
      </c>
      <c r="E16" s="77" t="s">
        <v>171</v>
      </c>
      <c r="F16" s="77" t="s">
        <v>172</v>
      </c>
      <c r="G16" s="77" t="s">
        <v>183</v>
      </c>
      <c r="H16" s="77"/>
      <c r="I16" s="77"/>
    </row>
    <row r="17" spans="1:15" x14ac:dyDescent="0.25">
      <c r="A17" s="91" t="s">
        <v>174</v>
      </c>
      <c r="B17" s="73" t="s">
        <v>42</v>
      </c>
      <c r="C17" s="76" t="s">
        <v>175</v>
      </c>
      <c r="D17" s="77" t="s">
        <v>178</v>
      </c>
      <c r="E17" s="77" t="s">
        <v>179</v>
      </c>
      <c r="F17" s="76" t="s">
        <v>180</v>
      </c>
      <c r="G17" s="77" t="s">
        <v>170</v>
      </c>
      <c r="H17" s="77" t="s">
        <v>172</v>
      </c>
      <c r="I17" s="77" t="s">
        <v>183</v>
      </c>
    </row>
    <row r="18" spans="1:15" x14ac:dyDescent="0.25">
      <c r="A18" s="91" t="s">
        <v>96</v>
      </c>
      <c r="B18" s="73" t="s">
        <v>42</v>
      </c>
      <c r="C18" s="76" t="s">
        <v>175</v>
      </c>
      <c r="D18" s="77" t="s">
        <v>178</v>
      </c>
      <c r="E18" s="76" t="s">
        <v>180</v>
      </c>
      <c r="F18" s="77" t="s">
        <v>172</v>
      </c>
      <c r="G18" s="77" t="s">
        <v>183</v>
      </c>
      <c r="H18" s="77"/>
      <c r="I18" s="77"/>
    </row>
    <row r="19" spans="1:15" x14ac:dyDescent="0.25">
      <c r="A19" s="91" t="s">
        <v>20</v>
      </c>
      <c r="B19" s="73" t="s">
        <v>42</v>
      </c>
      <c r="C19" s="77" t="s">
        <v>178</v>
      </c>
      <c r="D19" s="76" t="s">
        <v>180</v>
      </c>
      <c r="E19" s="77" t="s">
        <v>170</v>
      </c>
      <c r="F19" s="77" t="s">
        <v>171</v>
      </c>
      <c r="G19" s="77" t="s">
        <v>172</v>
      </c>
      <c r="H19" s="77"/>
      <c r="I19" s="77"/>
    </row>
    <row r="20" spans="1:15" x14ac:dyDescent="0.25">
      <c r="A20" s="91" t="s">
        <v>101</v>
      </c>
      <c r="B20" s="73" t="s">
        <v>42</v>
      </c>
      <c r="C20" s="76" t="s">
        <v>175</v>
      </c>
      <c r="D20" s="77" t="s">
        <v>178</v>
      </c>
      <c r="E20" s="77" t="s">
        <v>179</v>
      </c>
      <c r="F20" s="76" t="s">
        <v>180</v>
      </c>
      <c r="G20" s="77" t="s">
        <v>171</v>
      </c>
      <c r="H20" s="77" t="s">
        <v>172</v>
      </c>
      <c r="I20" s="77" t="s">
        <v>183</v>
      </c>
    </row>
    <row r="21" spans="1:15" x14ac:dyDescent="0.25">
      <c r="A21" s="91" t="s">
        <v>100</v>
      </c>
      <c r="B21" s="73" t="s">
        <v>42</v>
      </c>
      <c r="C21" s="76" t="s">
        <v>175</v>
      </c>
      <c r="D21" s="77" t="s">
        <v>178</v>
      </c>
      <c r="E21" s="77" t="s">
        <v>179</v>
      </c>
      <c r="F21" s="76" t="s">
        <v>180</v>
      </c>
      <c r="G21" s="77" t="s">
        <v>170</v>
      </c>
      <c r="H21" s="77" t="s">
        <v>172</v>
      </c>
      <c r="I21" s="77" t="s">
        <v>183</v>
      </c>
    </row>
    <row r="22" spans="1:15" x14ac:dyDescent="0.25">
      <c r="A22" s="91" t="s">
        <v>25</v>
      </c>
      <c r="B22" s="73" t="s">
        <v>42</v>
      </c>
      <c r="C22" s="77" t="s">
        <v>178</v>
      </c>
      <c r="D22" s="77" t="s">
        <v>179</v>
      </c>
      <c r="E22" s="76" t="s">
        <v>180</v>
      </c>
      <c r="F22" s="77" t="s">
        <v>172</v>
      </c>
      <c r="G22" s="77" t="s">
        <v>183</v>
      </c>
      <c r="H22" s="77"/>
      <c r="I22" s="77"/>
    </row>
    <row r="23" spans="1:15" x14ac:dyDescent="0.25">
      <c r="A23" s="91" t="s">
        <v>102</v>
      </c>
      <c r="B23" s="73" t="s">
        <v>42</v>
      </c>
      <c r="C23" s="77" t="s">
        <v>178</v>
      </c>
      <c r="D23" s="77" t="s">
        <v>181</v>
      </c>
      <c r="E23" s="77" t="s">
        <v>179</v>
      </c>
      <c r="F23" s="76" t="s">
        <v>180</v>
      </c>
      <c r="G23" s="77" t="s">
        <v>172</v>
      </c>
      <c r="H23" s="77" t="s">
        <v>183</v>
      </c>
      <c r="I23" s="77"/>
    </row>
    <row r="24" spans="1:15" ht="17.25" thickBot="1" x14ac:dyDescent="0.3">
      <c r="A24" s="91" t="s">
        <v>73</v>
      </c>
      <c r="B24" s="73" t="s">
        <v>42</v>
      </c>
      <c r="C24" s="77" t="s">
        <v>178</v>
      </c>
      <c r="D24" s="77" t="s">
        <v>179</v>
      </c>
      <c r="E24" s="76" t="s">
        <v>180</v>
      </c>
      <c r="F24" s="77" t="s">
        <v>170</v>
      </c>
      <c r="G24" s="77" t="s">
        <v>171</v>
      </c>
      <c r="H24" s="77" t="s">
        <v>172</v>
      </c>
      <c r="I24" s="77" t="s">
        <v>183</v>
      </c>
    </row>
    <row r="25" spans="1:15" ht="32.25" thickBot="1" x14ac:dyDescent="0.3">
      <c r="A25" s="91" t="s">
        <v>103</v>
      </c>
      <c r="B25" s="73" t="s">
        <v>42</v>
      </c>
      <c r="C25" s="76" t="s">
        <v>177</v>
      </c>
      <c r="D25" s="77" t="s">
        <v>175</v>
      </c>
      <c r="E25" s="77" t="s">
        <v>178</v>
      </c>
      <c r="F25" s="77" t="s">
        <v>179</v>
      </c>
      <c r="G25" s="77" t="s">
        <v>171</v>
      </c>
      <c r="H25" s="77" t="s">
        <v>172</v>
      </c>
      <c r="I25" s="77" t="s">
        <v>183</v>
      </c>
      <c r="O25" s="25" t="s">
        <v>175</v>
      </c>
    </row>
    <row r="26" spans="1:15" x14ac:dyDescent="0.25">
      <c r="A26" s="91" t="s">
        <v>26</v>
      </c>
      <c r="B26" s="73" t="s">
        <v>42</v>
      </c>
      <c r="C26" s="77" t="s">
        <v>178</v>
      </c>
      <c r="D26" s="77" t="s">
        <v>181</v>
      </c>
      <c r="E26" s="76" t="s">
        <v>180</v>
      </c>
      <c r="F26" s="77" t="s">
        <v>172</v>
      </c>
      <c r="G26" s="77" t="s">
        <v>183</v>
      </c>
      <c r="H26" s="77"/>
      <c r="I26" s="77"/>
    </row>
  </sheetData>
  <sheetProtection sheet="1" objects="1" scenarios="1"/>
  <autoFilter ref="A1:I26" xr:uid="{00000000-0009-0000-0000-000003000000}"/>
  <sortState xmlns:xlrd2="http://schemas.microsoft.com/office/spreadsheetml/2017/richdata2" ref="A2:I26">
    <sortCondition ref="A2:A26"/>
  </sortState>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R50"/>
  <sheetViews>
    <sheetView topLeftCell="A2" zoomScaleNormal="100" workbookViewId="0">
      <selection activeCell="E2" sqref="E2:M41"/>
    </sheetView>
  </sheetViews>
  <sheetFormatPr defaultColWidth="9.140625" defaultRowHeight="15.75" x14ac:dyDescent="0.25"/>
  <cols>
    <col min="1" max="3" width="9.140625" style="20"/>
    <col min="4" max="4" width="22.7109375" style="20" customWidth="1"/>
    <col min="5" max="7" width="21.42578125" style="20" bestFit="1" customWidth="1"/>
    <col min="8" max="8" width="21.42578125" style="20" customWidth="1"/>
    <col min="9" max="10" width="21.42578125" style="20" bestFit="1" customWidth="1"/>
    <col min="11" max="11" width="23.28515625" style="20" bestFit="1" customWidth="1"/>
    <col min="12" max="12" width="21.42578125" style="20" bestFit="1" customWidth="1"/>
    <col min="13" max="14" width="23.28515625" style="20" bestFit="1" customWidth="1"/>
    <col min="15" max="16384" width="9.140625" style="20"/>
  </cols>
  <sheetData>
    <row r="1" spans="1:14" ht="16.5" thickBot="1" x14ac:dyDescent="0.3">
      <c r="B1" s="21"/>
      <c r="C1" s="21"/>
      <c r="D1" s="21"/>
      <c r="E1" s="69">
        <v>1</v>
      </c>
      <c r="F1" s="70">
        <f>+E1+1</f>
        <v>2</v>
      </c>
      <c r="G1" s="70">
        <f t="shared" ref="G1:N1" si="0">+F1+1</f>
        <v>3</v>
      </c>
      <c r="H1" s="70">
        <f t="shared" si="0"/>
        <v>4</v>
      </c>
      <c r="I1" s="70">
        <f t="shared" si="0"/>
        <v>5</v>
      </c>
      <c r="J1" s="70">
        <f t="shared" si="0"/>
        <v>6</v>
      </c>
      <c r="K1" s="70">
        <f t="shared" si="0"/>
        <v>7</v>
      </c>
      <c r="L1" s="70">
        <f t="shared" si="0"/>
        <v>8</v>
      </c>
      <c r="M1" s="70">
        <f t="shared" si="0"/>
        <v>9</v>
      </c>
      <c r="N1" s="70">
        <f t="shared" si="0"/>
        <v>10</v>
      </c>
    </row>
    <row r="2" spans="1:14" s="22" customFormat="1" ht="16.5" thickBot="1" x14ac:dyDescent="0.3">
      <c r="D2" s="23" t="s">
        <v>182</v>
      </c>
      <c r="E2" s="24" t="s">
        <v>176</v>
      </c>
      <c r="F2" s="25" t="s">
        <v>175</v>
      </c>
      <c r="G2" s="25" t="s">
        <v>178</v>
      </c>
      <c r="H2" s="25" t="s">
        <v>181</v>
      </c>
      <c r="I2" s="25" t="s">
        <v>170</v>
      </c>
      <c r="J2" s="25" t="s">
        <v>179</v>
      </c>
      <c r="K2" s="25" t="s">
        <v>171</v>
      </c>
      <c r="L2" s="25" t="s">
        <v>180</v>
      </c>
      <c r="M2" s="26" t="s">
        <v>172</v>
      </c>
      <c r="N2" s="26" t="s">
        <v>183</v>
      </c>
    </row>
    <row r="3" spans="1:14" s="31" customFormat="1" ht="16.5" thickBot="1" x14ac:dyDescent="0.3">
      <c r="A3" s="414"/>
      <c r="B3" s="417"/>
      <c r="C3" s="418" t="s">
        <v>42</v>
      </c>
      <c r="D3" s="27" t="s">
        <v>43</v>
      </c>
      <c r="E3" s="28">
        <v>2039</v>
      </c>
      <c r="F3" s="29">
        <v>1849</v>
      </c>
      <c r="G3" s="29">
        <v>1651</v>
      </c>
      <c r="H3" s="29">
        <v>1630</v>
      </c>
      <c r="I3" s="29">
        <v>1579</v>
      </c>
      <c r="J3" s="29">
        <v>1502</v>
      </c>
      <c r="K3" s="29">
        <v>1430</v>
      </c>
      <c r="L3" s="29">
        <v>1350</v>
      </c>
      <c r="M3" s="30">
        <v>1091</v>
      </c>
      <c r="N3" s="30">
        <v>1033</v>
      </c>
    </row>
    <row r="4" spans="1:14" s="31" customFormat="1" ht="16.5" thickBot="1" x14ac:dyDescent="0.3">
      <c r="A4" s="415"/>
      <c r="B4" s="417"/>
      <c r="C4" s="419"/>
      <c r="D4" s="32" t="s">
        <v>44</v>
      </c>
      <c r="E4" s="33">
        <v>1760</v>
      </c>
      <c r="F4" s="34">
        <v>1597</v>
      </c>
      <c r="G4" s="34">
        <v>1428</v>
      </c>
      <c r="H4" s="34">
        <v>1410</v>
      </c>
      <c r="I4" s="34">
        <v>1367</v>
      </c>
      <c r="J4" s="34">
        <v>1300</v>
      </c>
      <c r="K4" s="34">
        <v>1239</v>
      </c>
      <c r="L4" s="34">
        <v>1170</v>
      </c>
      <c r="M4" s="35">
        <v>948</v>
      </c>
      <c r="N4" s="35">
        <v>899</v>
      </c>
    </row>
    <row r="5" spans="1:14" s="31" customFormat="1" ht="16.5" thickBot="1" x14ac:dyDescent="0.3">
      <c r="A5" s="415"/>
      <c r="B5" s="417"/>
      <c r="C5" s="420"/>
      <c r="D5" s="36" t="s">
        <v>45</v>
      </c>
      <c r="E5" s="37">
        <v>2508</v>
      </c>
      <c r="F5" s="38">
        <v>2269</v>
      </c>
      <c r="G5" s="38">
        <v>2020</v>
      </c>
      <c r="H5" s="38">
        <v>1993</v>
      </c>
      <c r="I5" s="38">
        <v>1923</v>
      </c>
      <c r="J5" s="38">
        <v>1832</v>
      </c>
      <c r="K5" s="38">
        <v>1736</v>
      </c>
      <c r="L5" s="38">
        <v>1640</v>
      </c>
      <c r="M5" s="39">
        <v>1310</v>
      </c>
      <c r="N5" s="39">
        <v>1240</v>
      </c>
    </row>
    <row r="6" spans="1:14" s="31" customFormat="1" ht="16.5" thickBot="1" x14ac:dyDescent="0.3">
      <c r="A6" s="415"/>
      <c r="B6" s="417"/>
      <c r="C6" s="418" t="s">
        <v>46</v>
      </c>
      <c r="D6" s="40" t="s">
        <v>47</v>
      </c>
      <c r="E6" s="41">
        <v>1224</v>
      </c>
      <c r="F6" s="42">
        <v>1113</v>
      </c>
      <c r="G6" s="42">
        <v>996</v>
      </c>
      <c r="H6" s="42">
        <v>984</v>
      </c>
      <c r="I6" s="42">
        <v>953</v>
      </c>
      <c r="J6" s="42">
        <v>909</v>
      </c>
      <c r="K6" s="42">
        <v>866</v>
      </c>
      <c r="L6" s="42">
        <v>820</v>
      </c>
      <c r="M6" s="43">
        <v>668</v>
      </c>
      <c r="N6" s="43">
        <v>634</v>
      </c>
    </row>
    <row r="7" spans="1:14" s="31" customFormat="1" ht="16.5" thickBot="1" x14ac:dyDescent="0.3">
      <c r="A7" s="415"/>
      <c r="B7" s="417"/>
      <c r="C7" s="419"/>
      <c r="D7" s="44" t="s">
        <v>48</v>
      </c>
      <c r="E7" s="45">
        <v>2045</v>
      </c>
      <c r="F7" s="46">
        <v>1854</v>
      </c>
      <c r="G7" s="46">
        <v>1654</v>
      </c>
      <c r="H7" s="46">
        <v>1633</v>
      </c>
      <c r="I7" s="46">
        <v>1578</v>
      </c>
      <c r="J7" s="46">
        <v>1504</v>
      </c>
      <c r="K7" s="46">
        <v>1430</v>
      </c>
      <c r="L7" s="46">
        <v>1350</v>
      </c>
      <c r="M7" s="47">
        <v>1088</v>
      </c>
      <c r="N7" s="47">
        <v>1030</v>
      </c>
    </row>
    <row r="8" spans="1:14" s="31" customFormat="1" ht="16.5" thickBot="1" x14ac:dyDescent="0.3">
      <c r="A8" s="415"/>
      <c r="B8" s="417"/>
      <c r="C8" s="419"/>
      <c r="D8" s="44" t="s">
        <v>49</v>
      </c>
      <c r="E8" s="45">
        <v>2571</v>
      </c>
      <c r="F8" s="46">
        <v>2328</v>
      </c>
      <c r="G8" s="46">
        <v>2075</v>
      </c>
      <c r="H8" s="46">
        <v>2048</v>
      </c>
      <c r="I8" s="46">
        <v>1981</v>
      </c>
      <c r="J8" s="46">
        <v>1885</v>
      </c>
      <c r="K8" s="46">
        <v>1792</v>
      </c>
      <c r="L8" s="46">
        <v>1690</v>
      </c>
      <c r="M8" s="47">
        <v>1359</v>
      </c>
      <c r="N8" s="47">
        <v>1285</v>
      </c>
    </row>
    <row r="9" spans="1:14" s="31" customFormat="1" ht="16.5" thickBot="1" x14ac:dyDescent="0.3">
      <c r="A9" s="415"/>
      <c r="B9" s="417"/>
      <c r="C9" s="419"/>
      <c r="D9" s="44" t="s">
        <v>44</v>
      </c>
      <c r="E9" s="45">
        <v>1760</v>
      </c>
      <c r="F9" s="46">
        <v>1597</v>
      </c>
      <c r="G9" s="46">
        <v>1428</v>
      </c>
      <c r="H9" s="46">
        <v>1410</v>
      </c>
      <c r="I9" s="46">
        <v>1367</v>
      </c>
      <c r="J9" s="46">
        <v>1300</v>
      </c>
      <c r="K9" s="46">
        <v>1239</v>
      </c>
      <c r="L9" s="46">
        <v>1170</v>
      </c>
      <c r="M9" s="47">
        <v>948</v>
      </c>
      <c r="N9" s="47">
        <v>899</v>
      </c>
    </row>
    <row r="10" spans="1:14" s="31" customFormat="1" ht="16.5" thickBot="1" x14ac:dyDescent="0.3">
      <c r="A10" s="415"/>
      <c r="B10" s="417"/>
      <c r="C10" s="420"/>
      <c r="D10" s="48" t="s">
        <v>45</v>
      </c>
      <c r="E10" s="49">
        <v>2508</v>
      </c>
      <c r="F10" s="50">
        <v>2269</v>
      </c>
      <c r="G10" s="50">
        <v>2020</v>
      </c>
      <c r="H10" s="50">
        <v>1993</v>
      </c>
      <c r="I10" s="50">
        <v>1923</v>
      </c>
      <c r="J10" s="50">
        <v>1832</v>
      </c>
      <c r="K10" s="50">
        <v>1736</v>
      </c>
      <c r="L10" s="50">
        <v>1640</v>
      </c>
      <c r="M10" s="51">
        <v>1310</v>
      </c>
      <c r="N10" s="51">
        <v>1240</v>
      </c>
    </row>
    <row r="11" spans="1:14" s="31" customFormat="1" ht="16.5" thickBot="1" x14ac:dyDescent="0.3">
      <c r="A11" s="415"/>
      <c r="B11" s="417"/>
      <c r="C11" s="421" t="s">
        <v>50</v>
      </c>
      <c r="D11" s="52" t="s">
        <v>43</v>
      </c>
      <c r="E11" s="41">
        <v>2109</v>
      </c>
      <c r="F11" s="42">
        <v>1911</v>
      </c>
      <c r="G11" s="42">
        <v>1705</v>
      </c>
      <c r="H11" s="42">
        <v>1683</v>
      </c>
      <c r="I11" s="42">
        <v>1629</v>
      </c>
      <c r="J11" s="42">
        <v>1550</v>
      </c>
      <c r="K11" s="42">
        <v>1474</v>
      </c>
      <c r="L11" s="42">
        <v>1392</v>
      </c>
      <c r="M11" s="43">
        <v>1122</v>
      </c>
      <c r="N11" s="43">
        <v>1062</v>
      </c>
    </row>
    <row r="12" spans="1:14" s="31" customFormat="1" ht="16.5" thickBot="1" x14ac:dyDescent="0.3">
      <c r="A12" s="415"/>
      <c r="B12" s="417"/>
      <c r="C12" s="422"/>
      <c r="D12" s="53" t="s">
        <v>44</v>
      </c>
      <c r="E12" s="45">
        <v>1259</v>
      </c>
      <c r="F12" s="46">
        <v>1144</v>
      </c>
      <c r="G12" s="46">
        <v>1024</v>
      </c>
      <c r="H12" s="46">
        <v>1011</v>
      </c>
      <c r="I12" s="46">
        <v>978</v>
      </c>
      <c r="J12" s="46">
        <v>933</v>
      </c>
      <c r="K12" s="46">
        <v>888</v>
      </c>
      <c r="L12" s="46">
        <v>841</v>
      </c>
      <c r="M12" s="47">
        <v>683</v>
      </c>
      <c r="N12" s="47">
        <v>649</v>
      </c>
    </row>
    <row r="13" spans="1:14" s="31" customFormat="1" ht="16.5" thickBot="1" x14ac:dyDescent="0.3">
      <c r="A13" s="415"/>
      <c r="B13" s="417"/>
      <c r="C13" s="422"/>
      <c r="D13" s="53" t="s">
        <v>51</v>
      </c>
      <c r="E13" s="45">
        <v>2105</v>
      </c>
      <c r="F13" s="46">
        <v>1907</v>
      </c>
      <c r="G13" s="46">
        <v>1700</v>
      </c>
      <c r="H13" s="46">
        <v>1679</v>
      </c>
      <c r="I13" s="46">
        <v>1621</v>
      </c>
      <c r="J13" s="46">
        <v>1545</v>
      </c>
      <c r="K13" s="46">
        <v>1468</v>
      </c>
      <c r="L13" s="46">
        <v>1386</v>
      </c>
      <c r="M13" s="47">
        <v>1114</v>
      </c>
      <c r="N13" s="47">
        <v>1055</v>
      </c>
    </row>
    <row r="14" spans="1:14" s="31" customFormat="1" ht="16.5" thickBot="1" x14ac:dyDescent="0.3">
      <c r="A14" s="415"/>
      <c r="B14" s="417"/>
      <c r="C14" s="423"/>
      <c r="D14" s="54" t="s">
        <v>45</v>
      </c>
      <c r="E14" s="49">
        <v>2647</v>
      </c>
      <c r="F14" s="50">
        <v>2396</v>
      </c>
      <c r="G14" s="50">
        <v>2134</v>
      </c>
      <c r="H14" s="50">
        <v>2106</v>
      </c>
      <c r="I14" s="50">
        <v>2035</v>
      </c>
      <c r="J14" s="50">
        <v>1937</v>
      </c>
      <c r="K14" s="50">
        <v>1840</v>
      </c>
      <c r="L14" s="50">
        <v>1736</v>
      </c>
      <c r="M14" s="51">
        <v>1393</v>
      </c>
      <c r="N14" s="51">
        <v>1317</v>
      </c>
    </row>
    <row r="15" spans="1:14" s="31" customFormat="1" ht="16.5" thickBot="1" x14ac:dyDescent="0.3">
      <c r="A15" s="415"/>
      <c r="B15" s="417"/>
      <c r="C15" s="418" t="s">
        <v>52</v>
      </c>
      <c r="D15" s="40" t="s">
        <v>53</v>
      </c>
      <c r="E15" s="41">
        <v>1259</v>
      </c>
      <c r="F15" s="42">
        <v>1144</v>
      </c>
      <c r="G15" s="42">
        <v>1024</v>
      </c>
      <c r="H15" s="42">
        <v>1011</v>
      </c>
      <c r="I15" s="42">
        <v>978</v>
      </c>
      <c r="J15" s="42">
        <v>933</v>
      </c>
      <c r="K15" s="42">
        <v>888</v>
      </c>
      <c r="L15" s="42">
        <v>841</v>
      </c>
      <c r="M15" s="43">
        <v>683</v>
      </c>
      <c r="N15" s="43">
        <v>649</v>
      </c>
    </row>
    <row r="16" spans="1:14" s="31" customFormat="1" ht="16.5" thickBot="1" x14ac:dyDescent="0.3">
      <c r="A16" s="415"/>
      <c r="B16" s="417"/>
      <c r="C16" s="419"/>
      <c r="D16" s="44" t="s">
        <v>54</v>
      </c>
      <c r="E16" s="45">
        <v>2105</v>
      </c>
      <c r="F16" s="46">
        <v>1907</v>
      </c>
      <c r="G16" s="46">
        <v>1700</v>
      </c>
      <c r="H16" s="46">
        <v>1679</v>
      </c>
      <c r="I16" s="46">
        <v>1621</v>
      </c>
      <c r="J16" s="46">
        <v>1545</v>
      </c>
      <c r="K16" s="46">
        <v>1468</v>
      </c>
      <c r="L16" s="46">
        <v>1386</v>
      </c>
      <c r="M16" s="47">
        <v>1114</v>
      </c>
      <c r="N16" s="47">
        <v>1055</v>
      </c>
    </row>
    <row r="17" spans="1:14" s="31" customFormat="1" ht="16.5" thickBot="1" x14ac:dyDescent="0.3">
      <c r="A17" s="416"/>
      <c r="B17" s="417"/>
      <c r="C17" s="420"/>
      <c r="D17" s="48" t="s">
        <v>55</v>
      </c>
      <c r="E17" s="108">
        <v>2647</v>
      </c>
      <c r="F17" s="109">
        <v>2396</v>
      </c>
      <c r="G17" s="109">
        <v>2134</v>
      </c>
      <c r="H17" s="109">
        <v>2106</v>
      </c>
      <c r="I17" s="109">
        <v>2035</v>
      </c>
      <c r="J17" s="109">
        <v>1937</v>
      </c>
      <c r="K17" s="109">
        <v>1840</v>
      </c>
      <c r="L17" s="109">
        <v>1736</v>
      </c>
      <c r="M17" s="110">
        <v>1393</v>
      </c>
      <c r="N17" s="110">
        <v>1317</v>
      </c>
    </row>
    <row r="18" spans="1:14" s="55" customFormat="1" ht="18" x14ac:dyDescent="0.25">
      <c r="A18" s="122" t="s">
        <v>56</v>
      </c>
      <c r="B18" s="123"/>
      <c r="C18" s="123"/>
      <c r="D18" s="124"/>
      <c r="E18" s="111"/>
      <c r="F18" s="112"/>
      <c r="G18" s="112"/>
      <c r="H18" s="112"/>
      <c r="I18" s="112"/>
      <c r="J18" s="112"/>
      <c r="K18" s="112"/>
      <c r="L18" s="112"/>
      <c r="M18" s="112"/>
      <c r="N18" s="112"/>
    </row>
    <row r="19" spans="1:14" s="56" customFormat="1" x14ac:dyDescent="0.25">
      <c r="A19" s="125" t="s">
        <v>64</v>
      </c>
      <c r="B19" s="126"/>
      <c r="C19" s="126"/>
      <c r="D19" s="127"/>
      <c r="E19" s="113">
        <v>1000</v>
      </c>
      <c r="F19" s="59">
        <v>2000</v>
      </c>
      <c r="G19" s="59">
        <v>3000</v>
      </c>
      <c r="H19" s="59">
        <v>3000</v>
      </c>
      <c r="I19" s="59">
        <v>3000</v>
      </c>
      <c r="J19" s="59">
        <v>4000</v>
      </c>
      <c r="K19" s="59">
        <v>5000</v>
      </c>
      <c r="L19" s="59">
        <v>4000</v>
      </c>
      <c r="M19" s="59">
        <v>6350</v>
      </c>
      <c r="N19" s="59">
        <v>9000</v>
      </c>
    </row>
    <row r="20" spans="1:14" s="56" customFormat="1" x14ac:dyDescent="0.25">
      <c r="A20" s="125" t="s">
        <v>65</v>
      </c>
      <c r="B20" s="126"/>
      <c r="C20" s="126"/>
      <c r="D20" s="127"/>
      <c r="E20" s="113">
        <v>3000</v>
      </c>
      <c r="F20" s="59">
        <v>4000</v>
      </c>
      <c r="G20" s="59">
        <v>6000</v>
      </c>
      <c r="H20" s="59">
        <v>6000</v>
      </c>
      <c r="I20" s="59">
        <v>6000</v>
      </c>
      <c r="J20" s="59">
        <v>8000</v>
      </c>
      <c r="K20" s="59">
        <v>10000</v>
      </c>
      <c r="L20" s="59">
        <v>8000</v>
      </c>
      <c r="M20" s="59">
        <v>12700</v>
      </c>
      <c r="N20" s="59">
        <v>18000</v>
      </c>
    </row>
    <row r="21" spans="1:14" s="56" customFormat="1" x14ac:dyDescent="0.25">
      <c r="A21" s="128" t="s">
        <v>66</v>
      </c>
      <c r="B21" s="126"/>
      <c r="C21" s="126"/>
      <c r="D21" s="127"/>
      <c r="E21" s="113">
        <v>500</v>
      </c>
      <c r="F21" s="59">
        <v>500</v>
      </c>
      <c r="G21" s="59">
        <v>750</v>
      </c>
      <c r="H21" s="59">
        <v>1000</v>
      </c>
      <c r="I21" s="59">
        <v>1500</v>
      </c>
      <c r="J21" s="59">
        <v>2000</v>
      </c>
      <c r="K21" s="59">
        <v>3000</v>
      </c>
      <c r="L21" s="59">
        <v>3000</v>
      </c>
      <c r="M21" s="59">
        <v>5000</v>
      </c>
      <c r="N21" s="59">
        <v>9000</v>
      </c>
    </row>
    <row r="22" spans="1:14" s="61" customFormat="1" x14ac:dyDescent="0.25">
      <c r="A22" s="57" t="s">
        <v>67</v>
      </c>
      <c r="B22" s="58"/>
      <c r="C22" s="58"/>
      <c r="D22" s="129"/>
      <c r="E22" s="113">
        <v>1000</v>
      </c>
      <c r="F22" s="59">
        <v>1000</v>
      </c>
      <c r="G22" s="59">
        <v>1500</v>
      </c>
      <c r="H22" s="59">
        <v>2000</v>
      </c>
      <c r="I22" s="59">
        <v>3000</v>
      </c>
      <c r="J22" s="59">
        <v>4000</v>
      </c>
      <c r="K22" s="59">
        <v>5200</v>
      </c>
      <c r="L22" s="59">
        <v>6000</v>
      </c>
      <c r="M22" s="59">
        <v>10000</v>
      </c>
      <c r="N22" s="59">
        <v>18000</v>
      </c>
    </row>
    <row r="23" spans="1:14" s="61" customFormat="1" x14ac:dyDescent="0.25">
      <c r="A23" s="57" t="s">
        <v>68</v>
      </c>
      <c r="B23" s="58"/>
      <c r="C23" s="58"/>
      <c r="D23" s="129"/>
      <c r="E23" s="113">
        <f>+E19-E21</f>
        <v>500</v>
      </c>
      <c r="F23" s="113">
        <f t="shared" ref="F23:M23" si="1">+F19-F21</f>
        <v>1500</v>
      </c>
      <c r="G23" s="113">
        <f t="shared" si="1"/>
        <v>2250</v>
      </c>
      <c r="H23" s="113">
        <f t="shared" ref="H23:I23" si="2">+H19-H21</f>
        <v>2000</v>
      </c>
      <c r="I23" s="113">
        <f t="shared" si="2"/>
        <v>1500</v>
      </c>
      <c r="J23" s="113">
        <f t="shared" si="1"/>
        <v>2000</v>
      </c>
      <c r="K23" s="113">
        <f t="shared" si="1"/>
        <v>2000</v>
      </c>
      <c r="L23" s="113">
        <f t="shared" si="1"/>
        <v>1000</v>
      </c>
      <c r="M23" s="113">
        <f t="shared" si="1"/>
        <v>1350</v>
      </c>
      <c r="N23" s="113">
        <f t="shared" ref="N23" si="3">+N19-N21</f>
        <v>0</v>
      </c>
    </row>
    <row r="24" spans="1:14" s="61" customFormat="1" x14ac:dyDescent="0.25">
      <c r="A24" s="57" t="s">
        <v>69</v>
      </c>
      <c r="B24" s="58"/>
      <c r="C24" s="58"/>
      <c r="D24" s="129"/>
      <c r="E24" s="113">
        <f>+E20-E22</f>
        <v>2000</v>
      </c>
      <c r="F24" s="113">
        <f t="shared" ref="F24:M24" si="4">+F20-F22</f>
        <v>3000</v>
      </c>
      <c r="G24" s="113">
        <f t="shared" si="4"/>
        <v>4500</v>
      </c>
      <c r="H24" s="113">
        <f t="shared" ref="H24:I24" si="5">+H20-H22</f>
        <v>4000</v>
      </c>
      <c r="I24" s="113">
        <f t="shared" si="5"/>
        <v>3000</v>
      </c>
      <c r="J24" s="113">
        <f t="shared" si="4"/>
        <v>4000</v>
      </c>
      <c r="K24" s="113">
        <f t="shared" si="4"/>
        <v>4800</v>
      </c>
      <c r="L24" s="113">
        <f t="shared" si="4"/>
        <v>2000</v>
      </c>
      <c r="M24" s="113">
        <f t="shared" si="4"/>
        <v>2700</v>
      </c>
      <c r="N24" s="113">
        <f t="shared" ref="N24" si="6">+N20-N22</f>
        <v>0</v>
      </c>
    </row>
    <row r="25" spans="1:14" s="61" customFormat="1" x14ac:dyDescent="0.25">
      <c r="A25" s="125" t="s">
        <v>72</v>
      </c>
      <c r="B25" s="126"/>
      <c r="C25" s="126"/>
      <c r="D25" s="127"/>
      <c r="E25" s="114"/>
      <c r="F25" s="59"/>
      <c r="G25" s="59"/>
      <c r="H25" s="59"/>
      <c r="I25" s="115"/>
      <c r="J25" s="59"/>
      <c r="K25" s="115"/>
      <c r="L25" s="59"/>
      <c r="M25" s="115"/>
      <c r="N25" s="115"/>
    </row>
    <row r="26" spans="1:14" s="67" customFormat="1" x14ac:dyDescent="0.25">
      <c r="A26" s="64" t="s">
        <v>57</v>
      </c>
      <c r="B26" s="65"/>
      <c r="C26" s="65"/>
      <c r="D26" s="131"/>
      <c r="E26" s="66">
        <v>0</v>
      </c>
      <c r="F26" s="66">
        <v>0</v>
      </c>
      <c r="G26" s="66">
        <v>0</v>
      </c>
      <c r="H26" s="66">
        <v>0</v>
      </c>
      <c r="I26" s="66">
        <v>25</v>
      </c>
      <c r="J26" s="66">
        <v>0</v>
      </c>
      <c r="K26" s="66">
        <v>25</v>
      </c>
      <c r="L26" s="66">
        <v>0</v>
      </c>
      <c r="M26" s="66">
        <v>25</v>
      </c>
      <c r="N26" s="66">
        <v>25</v>
      </c>
    </row>
    <row r="27" spans="1:14" s="68" customFormat="1" x14ac:dyDescent="0.25">
      <c r="A27" s="64" t="s">
        <v>58</v>
      </c>
      <c r="B27" s="65"/>
      <c r="C27" s="65"/>
      <c r="D27" s="131"/>
      <c r="E27" s="66">
        <v>20</v>
      </c>
      <c r="F27" s="66">
        <v>30</v>
      </c>
      <c r="G27" s="66">
        <v>30</v>
      </c>
      <c r="H27" s="66">
        <v>30</v>
      </c>
      <c r="I27" s="66">
        <v>0</v>
      </c>
      <c r="J27" s="66">
        <v>30</v>
      </c>
      <c r="K27" s="66">
        <v>0</v>
      </c>
      <c r="L27" s="66">
        <v>40</v>
      </c>
      <c r="M27" s="66">
        <v>0</v>
      </c>
      <c r="N27" s="66">
        <v>0</v>
      </c>
    </row>
    <row r="28" spans="1:14" s="56" customFormat="1" x14ac:dyDescent="0.25">
      <c r="A28" s="62" t="s">
        <v>59</v>
      </c>
      <c r="B28" s="58"/>
      <c r="C28" s="58"/>
      <c r="D28" s="130"/>
      <c r="E28" s="63">
        <v>0.1</v>
      </c>
      <c r="F28" s="63">
        <v>0.2</v>
      </c>
      <c r="G28" s="63">
        <v>0.2</v>
      </c>
      <c r="H28" s="63">
        <v>0.2</v>
      </c>
      <c r="I28" s="63">
        <v>0.1</v>
      </c>
      <c r="J28" s="63">
        <v>0.2</v>
      </c>
      <c r="K28" s="63">
        <v>0.1</v>
      </c>
      <c r="L28" s="63">
        <v>0.2</v>
      </c>
      <c r="M28" s="63">
        <v>0.3</v>
      </c>
      <c r="N28" s="63">
        <v>0</v>
      </c>
    </row>
    <row r="29" spans="1:14" s="56" customFormat="1" x14ac:dyDescent="0.25">
      <c r="A29" s="62" t="s">
        <v>60</v>
      </c>
      <c r="B29" s="58"/>
      <c r="C29" s="58"/>
      <c r="D29" s="130"/>
      <c r="E29" s="63">
        <v>0.1</v>
      </c>
      <c r="F29" s="63">
        <v>0.2</v>
      </c>
      <c r="G29" s="63">
        <v>0.2</v>
      </c>
      <c r="H29" s="63">
        <v>0.2</v>
      </c>
      <c r="I29" s="63">
        <v>0.1</v>
      </c>
      <c r="J29" s="63">
        <v>0.2</v>
      </c>
      <c r="K29" s="63">
        <v>0.1</v>
      </c>
      <c r="L29" s="63">
        <v>0.2</v>
      </c>
      <c r="M29" s="63">
        <v>0.3</v>
      </c>
      <c r="N29" s="63">
        <v>0</v>
      </c>
    </row>
    <row r="30" spans="1:14" s="56" customFormat="1" x14ac:dyDescent="0.25">
      <c r="A30" s="62" t="s">
        <v>70</v>
      </c>
      <c r="B30" s="58"/>
      <c r="C30" s="58"/>
      <c r="D30" s="130"/>
      <c r="E30" s="60">
        <v>100</v>
      </c>
      <c r="F30" s="60">
        <v>100</v>
      </c>
      <c r="G30" s="60">
        <v>100</v>
      </c>
      <c r="H30" s="60">
        <v>100</v>
      </c>
      <c r="I30" s="60">
        <v>100</v>
      </c>
      <c r="J30" s="60">
        <v>100</v>
      </c>
      <c r="K30" s="60">
        <v>100</v>
      </c>
      <c r="L30" s="60">
        <v>100</v>
      </c>
      <c r="M30" s="60">
        <v>100</v>
      </c>
      <c r="N30" s="60">
        <v>100</v>
      </c>
    </row>
    <row r="31" spans="1:14" s="56" customFormat="1" x14ac:dyDescent="0.25">
      <c r="A31" s="411" t="s">
        <v>71</v>
      </c>
      <c r="B31" s="412"/>
      <c r="C31" s="412"/>
      <c r="D31" s="413"/>
      <c r="E31" s="63">
        <v>0.1</v>
      </c>
      <c r="F31" s="63">
        <v>0.2</v>
      </c>
      <c r="G31" s="63">
        <v>0.2</v>
      </c>
      <c r="H31" s="63">
        <v>0.2</v>
      </c>
      <c r="I31" s="63">
        <v>0.1</v>
      </c>
      <c r="J31" s="63">
        <v>0.2</v>
      </c>
      <c r="K31" s="63">
        <v>0.1</v>
      </c>
      <c r="L31" s="63">
        <v>0.2</v>
      </c>
      <c r="M31" s="63">
        <v>0.3</v>
      </c>
      <c r="N31" s="63">
        <v>0</v>
      </c>
    </row>
    <row r="32" spans="1:14" s="68" customFormat="1" x14ac:dyDescent="0.25">
      <c r="A32" s="64" t="s">
        <v>61</v>
      </c>
      <c r="B32" s="65"/>
      <c r="C32" s="65"/>
      <c r="D32" s="131"/>
      <c r="E32" s="66">
        <v>10</v>
      </c>
      <c r="F32" s="66">
        <v>10</v>
      </c>
      <c r="G32" s="66">
        <v>10</v>
      </c>
      <c r="H32" s="66">
        <v>10</v>
      </c>
      <c r="I32" s="251">
        <v>0</v>
      </c>
      <c r="J32" s="66">
        <v>10</v>
      </c>
      <c r="K32" s="251">
        <v>0</v>
      </c>
      <c r="L32" s="66">
        <v>10</v>
      </c>
      <c r="M32" s="251">
        <v>0</v>
      </c>
      <c r="N32" s="251">
        <v>0</v>
      </c>
    </row>
    <row r="33" spans="1:18" s="55" customFormat="1" ht="18" x14ac:dyDescent="0.25">
      <c r="A33" s="132" t="s">
        <v>118</v>
      </c>
      <c r="B33" s="133"/>
      <c r="C33" s="133"/>
      <c r="D33" s="134"/>
      <c r="E33" s="111"/>
      <c r="F33" s="112"/>
      <c r="G33" s="112"/>
      <c r="H33" s="112"/>
      <c r="I33" s="112"/>
      <c r="J33" s="112"/>
      <c r="K33" s="112"/>
      <c r="L33" s="112"/>
      <c r="M33" s="112"/>
      <c r="N33" s="112"/>
    </row>
    <row r="34" spans="1:18" ht="15.75" customHeight="1" x14ac:dyDescent="0.25">
      <c r="A34" s="125" t="s">
        <v>64</v>
      </c>
      <c r="B34" s="126"/>
      <c r="C34" s="126"/>
      <c r="D34" s="135"/>
      <c r="E34" s="116">
        <v>2500</v>
      </c>
      <c r="F34" s="116">
        <v>2500</v>
      </c>
      <c r="G34" s="116">
        <v>2500</v>
      </c>
      <c r="H34" s="116">
        <v>2500</v>
      </c>
      <c r="I34" s="115">
        <f>I19</f>
        <v>3000</v>
      </c>
      <c r="J34" s="116">
        <v>2500</v>
      </c>
      <c r="K34" s="115">
        <f>K19</f>
        <v>5000</v>
      </c>
      <c r="L34" s="116">
        <v>2500</v>
      </c>
      <c r="M34" s="115">
        <f t="shared" ref="M34:N37" si="7">M19</f>
        <v>6350</v>
      </c>
      <c r="N34" s="115">
        <f t="shared" si="7"/>
        <v>9000</v>
      </c>
    </row>
    <row r="35" spans="1:18" x14ac:dyDescent="0.25">
      <c r="A35" s="125" t="s">
        <v>65</v>
      </c>
      <c r="B35" s="126"/>
      <c r="C35" s="126"/>
      <c r="D35" s="135"/>
      <c r="E35" s="116">
        <v>3500</v>
      </c>
      <c r="F35" s="116">
        <v>3500</v>
      </c>
      <c r="G35" s="116">
        <v>3500</v>
      </c>
      <c r="H35" s="116">
        <v>3500</v>
      </c>
      <c r="I35" s="115">
        <f>I20</f>
        <v>6000</v>
      </c>
      <c r="J35" s="116">
        <v>3500</v>
      </c>
      <c r="K35" s="115">
        <f>K20</f>
        <v>10000</v>
      </c>
      <c r="L35" s="116">
        <v>3500</v>
      </c>
      <c r="M35" s="115">
        <f t="shared" si="7"/>
        <v>12700</v>
      </c>
      <c r="N35" s="115">
        <f t="shared" si="7"/>
        <v>18000</v>
      </c>
    </row>
    <row r="36" spans="1:18" x14ac:dyDescent="0.25">
      <c r="A36" s="105" t="s">
        <v>120</v>
      </c>
      <c r="B36" s="58"/>
      <c r="C36" s="58"/>
      <c r="D36" s="130"/>
      <c r="E36" s="117">
        <v>200</v>
      </c>
      <c r="F36" s="117">
        <v>200</v>
      </c>
      <c r="G36" s="118">
        <v>200</v>
      </c>
      <c r="H36" s="118">
        <v>200</v>
      </c>
      <c r="I36" s="119">
        <f>I21</f>
        <v>1500</v>
      </c>
      <c r="J36" s="118">
        <v>200</v>
      </c>
      <c r="K36" s="119">
        <f>K21</f>
        <v>3000</v>
      </c>
      <c r="L36" s="118">
        <v>200</v>
      </c>
      <c r="M36" s="119">
        <f t="shared" si="7"/>
        <v>5000</v>
      </c>
      <c r="N36" s="119">
        <f t="shared" si="7"/>
        <v>9000</v>
      </c>
    </row>
    <row r="37" spans="1:18" x14ac:dyDescent="0.25">
      <c r="A37" s="105" t="s">
        <v>121</v>
      </c>
      <c r="B37" s="58"/>
      <c r="C37" s="58"/>
      <c r="D37" s="130"/>
      <c r="E37" s="117">
        <v>500</v>
      </c>
      <c r="F37" s="117">
        <v>500</v>
      </c>
      <c r="G37" s="118">
        <v>500</v>
      </c>
      <c r="H37" s="118">
        <v>500</v>
      </c>
      <c r="I37" s="119">
        <f>I22</f>
        <v>3000</v>
      </c>
      <c r="J37" s="118">
        <v>500</v>
      </c>
      <c r="K37" s="119">
        <f>K22</f>
        <v>5200</v>
      </c>
      <c r="L37" s="118">
        <v>500</v>
      </c>
      <c r="M37" s="119">
        <f t="shared" si="7"/>
        <v>10000</v>
      </c>
      <c r="N37" s="119">
        <f t="shared" si="7"/>
        <v>18000</v>
      </c>
    </row>
    <row r="38" spans="1:18" x14ac:dyDescent="0.25">
      <c r="A38" s="105" t="s">
        <v>122</v>
      </c>
      <c r="B38" s="58"/>
      <c r="C38" s="58"/>
      <c r="D38" s="129"/>
      <c r="E38" s="116">
        <v>0</v>
      </c>
      <c r="F38" s="116">
        <v>0</v>
      </c>
      <c r="G38" s="116">
        <v>0</v>
      </c>
      <c r="H38" s="116">
        <v>0</v>
      </c>
      <c r="I38" s="119">
        <v>0</v>
      </c>
      <c r="J38" s="116">
        <v>0</v>
      </c>
      <c r="K38" s="119">
        <v>0</v>
      </c>
      <c r="L38" s="116">
        <v>0</v>
      </c>
      <c r="M38" s="119">
        <v>0</v>
      </c>
      <c r="N38" s="119">
        <v>0</v>
      </c>
    </row>
    <row r="39" spans="1:18" x14ac:dyDescent="0.25">
      <c r="A39" s="105" t="s">
        <v>123</v>
      </c>
      <c r="B39" s="58"/>
      <c r="C39" s="58"/>
      <c r="D39" s="129"/>
      <c r="E39" s="116">
        <v>90</v>
      </c>
      <c r="F39" s="116">
        <v>90</v>
      </c>
      <c r="G39" s="116">
        <v>90</v>
      </c>
      <c r="H39" s="116">
        <v>90</v>
      </c>
      <c r="I39" s="119">
        <v>90</v>
      </c>
      <c r="J39" s="116">
        <v>90</v>
      </c>
      <c r="K39" s="119">
        <v>90</v>
      </c>
      <c r="L39" s="116">
        <v>90</v>
      </c>
      <c r="M39" s="119">
        <v>90</v>
      </c>
      <c r="N39" s="119">
        <v>0</v>
      </c>
    </row>
    <row r="40" spans="1:18" x14ac:dyDescent="0.25">
      <c r="A40" s="105" t="s">
        <v>125</v>
      </c>
      <c r="B40" s="58"/>
      <c r="C40" s="58"/>
      <c r="D40" s="129"/>
      <c r="E40" s="120">
        <v>35</v>
      </c>
      <c r="F40" s="120">
        <v>35</v>
      </c>
      <c r="G40" s="120">
        <v>35</v>
      </c>
      <c r="H40" s="120">
        <v>35</v>
      </c>
      <c r="I40" s="121">
        <v>35</v>
      </c>
      <c r="J40" s="120">
        <v>35</v>
      </c>
      <c r="K40" s="121">
        <v>35</v>
      </c>
      <c r="L40" s="120">
        <v>35</v>
      </c>
      <c r="M40" s="121">
        <v>35</v>
      </c>
      <c r="N40" s="121">
        <v>0</v>
      </c>
    </row>
    <row r="41" spans="1:18" ht="16.5" thickBot="1" x14ac:dyDescent="0.3">
      <c r="A41" s="106" t="s">
        <v>124</v>
      </c>
      <c r="B41" s="107"/>
      <c r="C41" s="107"/>
      <c r="D41" s="136"/>
      <c r="E41" s="116">
        <v>10</v>
      </c>
      <c r="F41" s="116">
        <v>10</v>
      </c>
      <c r="G41" s="116">
        <v>10</v>
      </c>
      <c r="H41" s="116">
        <v>10</v>
      </c>
      <c r="I41" s="119">
        <v>9</v>
      </c>
      <c r="J41" s="116">
        <v>10</v>
      </c>
      <c r="K41" s="119">
        <v>9</v>
      </c>
      <c r="L41" s="116">
        <v>10</v>
      </c>
      <c r="M41" s="119">
        <v>9</v>
      </c>
      <c r="N41" s="119">
        <v>0</v>
      </c>
    </row>
    <row r="44" spans="1:18" s="31" customFormat="1" x14ac:dyDescent="0.25">
      <c r="A44" s="20"/>
      <c r="B44" s="20"/>
      <c r="C44" s="20"/>
      <c r="D44" s="339" t="s">
        <v>46</v>
      </c>
      <c r="E44" s="340"/>
      <c r="F44" s="340"/>
      <c r="G44" s="340">
        <v>0</v>
      </c>
      <c r="H44" s="340">
        <v>0</v>
      </c>
      <c r="I44" s="20"/>
      <c r="J44" s="340">
        <v>0</v>
      </c>
      <c r="K44" s="340">
        <v>0</v>
      </c>
      <c r="L44" s="340">
        <v>0</v>
      </c>
      <c r="M44" s="340">
        <v>0</v>
      </c>
      <c r="N44" s="340">
        <v>0</v>
      </c>
      <c r="O44" s="349"/>
      <c r="P44" s="350"/>
    </row>
    <row r="45" spans="1:18" s="344" customFormat="1" ht="23.25" x14ac:dyDescent="0.35">
      <c r="A45" s="341"/>
      <c r="B45" s="341"/>
      <c r="C45" s="341"/>
      <c r="D45" s="342" t="s">
        <v>42</v>
      </c>
      <c r="E45" s="345">
        <v>-510</v>
      </c>
      <c r="F45" s="346">
        <v>-462</v>
      </c>
      <c r="G45" s="347">
        <v>-413</v>
      </c>
      <c r="H45" s="346">
        <v>-408</v>
      </c>
      <c r="I45" s="347">
        <v>-395</v>
      </c>
      <c r="J45" s="347">
        <v>-376</v>
      </c>
      <c r="K45" s="347">
        <v>-358</v>
      </c>
      <c r="L45" s="347">
        <v>-338</v>
      </c>
      <c r="M45" s="346">
        <v>-273</v>
      </c>
      <c r="N45" s="346">
        <v>-258</v>
      </c>
      <c r="O45" s="351"/>
      <c r="P45" s="352"/>
      <c r="Q45" s="352"/>
      <c r="R45" s="352"/>
    </row>
    <row r="46" spans="1:18" x14ac:dyDescent="0.25">
      <c r="D46" s="339" t="s">
        <v>52</v>
      </c>
      <c r="E46" s="340"/>
      <c r="F46" s="340"/>
      <c r="G46" s="340">
        <v>0</v>
      </c>
      <c r="H46" s="340">
        <v>0</v>
      </c>
      <c r="J46" s="340">
        <v>0</v>
      </c>
      <c r="K46" s="340">
        <v>0</v>
      </c>
      <c r="L46" s="340">
        <v>0</v>
      </c>
      <c r="M46" s="340">
        <v>0</v>
      </c>
      <c r="N46" s="340">
        <v>0</v>
      </c>
      <c r="O46" s="349"/>
      <c r="P46" s="350"/>
    </row>
    <row r="47" spans="1:18" s="341" customFormat="1" x14ac:dyDescent="0.25">
      <c r="D47" s="342" t="s">
        <v>50</v>
      </c>
      <c r="E47" s="343">
        <v>-527</v>
      </c>
      <c r="F47" s="343">
        <v>-478</v>
      </c>
      <c r="G47" s="343">
        <v>-426</v>
      </c>
      <c r="H47" s="343">
        <v>-421</v>
      </c>
      <c r="I47" s="341">
        <v>-407</v>
      </c>
      <c r="J47" s="343">
        <v>-388</v>
      </c>
      <c r="K47" s="343">
        <v>-369</v>
      </c>
      <c r="L47" s="343">
        <v>-348</v>
      </c>
      <c r="M47" s="343">
        <v>-281</v>
      </c>
      <c r="N47" s="343">
        <v>-266</v>
      </c>
      <c r="O47" s="353"/>
      <c r="P47" s="354"/>
      <c r="Q47" s="355"/>
      <c r="R47" s="355"/>
    </row>
    <row r="49" spans="5:14" x14ac:dyDescent="0.25">
      <c r="E49" s="348">
        <f>+E45/E3</f>
        <v>-0.2501226091221187</v>
      </c>
      <c r="F49" s="348">
        <f t="shared" ref="F49:N49" si="8">+F45/F3</f>
        <v>-0.24986479177934018</v>
      </c>
      <c r="G49" s="348">
        <f t="shared" si="8"/>
        <v>-0.25015142337976981</v>
      </c>
      <c r="H49" s="348">
        <f t="shared" si="8"/>
        <v>-0.25030674846625767</v>
      </c>
      <c r="I49" s="348">
        <f t="shared" si="8"/>
        <v>-0.25015832805573146</v>
      </c>
      <c r="J49" s="348">
        <f t="shared" si="8"/>
        <v>-0.25033288948069243</v>
      </c>
      <c r="K49" s="348">
        <f t="shared" si="8"/>
        <v>-0.25034965034965034</v>
      </c>
      <c r="L49" s="348">
        <f t="shared" si="8"/>
        <v>-0.25037037037037035</v>
      </c>
      <c r="M49" s="348">
        <f t="shared" si="8"/>
        <v>-0.25022914757103576</v>
      </c>
      <c r="N49" s="348">
        <f t="shared" si="8"/>
        <v>-0.24975798644724104</v>
      </c>
    </row>
    <row r="50" spans="5:14" x14ac:dyDescent="0.25">
      <c r="E50" s="348">
        <f>+E47/E11</f>
        <v>-0.2498814604077762</v>
      </c>
      <c r="F50" s="348">
        <f t="shared" ref="F50:N50" si="9">+F47/F11</f>
        <v>-0.25013082155939298</v>
      </c>
      <c r="G50" s="348">
        <f t="shared" si="9"/>
        <v>-0.24985337243401759</v>
      </c>
      <c r="H50" s="348">
        <f t="shared" si="9"/>
        <v>-0.25014854426619132</v>
      </c>
      <c r="I50" s="348">
        <f t="shared" si="9"/>
        <v>-0.24984653161448742</v>
      </c>
      <c r="J50" s="348">
        <f t="shared" si="9"/>
        <v>-0.25032258064516127</v>
      </c>
      <c r="K50" s="348">
        <f t="shared" si="9"/>
        <v>-0.25033921302578022</v>
      </c>
      <c r="L50" s="348">
        <f t="shared" si="9"/>
        <v>-0.25</v>
      </c>
      <c r="M50" s="348">
        <f t="shared" si="9"/>
        <v>-0.25044563279857396</v>
      </c>
      <c r="N50" s="348">
        <f t="shared" si="9"/>
        <v>-0.2504708097928437</v>
      </c>
    </row>
  </sheetData>
  <mergeCells count="8">
    <mergeCell ref="A31:D31"/>
    <mergeCell ref="A3:A17"/>
    <mergeCell ref="B3:B10"/>
    <mergeCell ref="C3:C5"/>
    <mergeCell ref="C6:C10"/>
    <mergeCell ref="B11:B17"/>
    <mergeCell ref="C11:C14"/>
    <mergeCell ref="C15:C17"/>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E32"/>
  <sheetViews>
    <sheetView workbookViewId="0">
      <selection activeCell="C9" sqref="C9"/>
    </sheetView>
  </sheetViews>
  <sheetFormatPr defaultRowHeight="15.75" x14ac:dyDescent="0.25"/>
  <cols>
    <col min="1" max="1" width="22.5703125" bestFit="1" customWidth="1"/>
    <col min="2" max="2" width="16.28515625" bestFit="1" customWidth="1"/>
    <col min="3" max="3" width="23.28515625" bestFit="1" customWidth="1"/>
    <col min="4" max="4" width="4.7109375" bestFit="1" customWidth="1"/>
  </cols>
  <sheetData>
    <row r="1" spans="1:5" ht="16.5" thickBot="1" x14ac:dyDescent="0.3">
      <c r="A1" s="22" t="s">
        <v>80</v>
      </c>
      <c r="B1" s="22" t="s">
        <v>81</v>
      </c>
      <c r="C1" s="22" t="s">
        <v>94</v>
      </c>
      <c r="D1" s="22"/>
      <c r="E1" s="22"/>
    </row>
    <row r="2" spans="1:5" ht="16.5" thickBot="1" x14ac:dyDescent="0.3">
      <c r="A2" s="266" t="s">
        <v>175</v>
      </c>
      <c r="B2">
        <v>2</v>
      </c>
      <c r="C2" s="267">
        <f>+p2payments</f>
        <v>0</v>
      </c>
    </row>
    <row r="3" spans="1:5" x14ac:dyDescent="0.25">
      <c r="A3" s="81" t="s">
        <v>178</v>
      </c>
      <c r="B3">
        <v>3</v>
      </c>
      <c r="C3" s="267">
        <f>+P3payments</f>
        <v>0</v>
      </c>
    </row>
    <row r="4" spans="1:5" x14ac:dyDescent="0.25">
      <c r="A4" s="249" t="s">
        <v>181</v>
      </c>
      <c r="B4">
        <v>4</v>
      </c>
      <c r="C4" s="267">
        <f>+p4payments</f>
        <v>0</v>
      </c>
    </row>
    <row r="5" spans="1:5" x14ac:dyDescent="0.25">
      <c r="A5" s="81" t="s">
        <v>179</v>
      </c>
      <c r="B5">
        <v>6</v>
      </c>
      <c r="C5" s="267">
        <f>+p6payments</f>
        <v>0</v>
      </c>
    </row>
    <row r="6" spans="1:5" x14ac:dyDescent="0.25">
      <c r="A6" s="81" t="s">
        <v>180</v>
      </c>
      <c r="B6">
        <v>8</v>
      </c>
      <c r="C6" s="267">
        <f>+P8payments</f>
        <v>0</v>
      </c>
    </row>
    <row r="7" spans="1:5" x14ac:dyDescent="0.25">
      <c r="A7" s="81" t="s">
        <v>176</v>
      </c>
      <c r="B7">
        <v>1</v>
      </c>
      <c r="C7" s="267">
        <f>+P1payments</f>
        <v>0</v>
      </c>
    </row>
    <row r="8" spans="1:5" x14ac:dyDescent="0.25">
      <c r="A8" s="81" t="s">
        <v>170</v>
      </c>
      <c r="B8">
        <v>5</v>
      </c>
      <c r="C8" s="267">
        <f>+p5familypayments</f>
        <v>0</v>
      </c>
    </row>
    <row r="9" spans="1:5" x14ac:dyDescent="0.25">
      <c r="A9" s="81" t="s">
        <v>171</v>
      </c>
      <c r="B9">
        <v>7</v>
      </c>
      <c r="C9" s="267">
        <f>+P7Payments</f>
        <v>0</v>
      </c>
    </row>
    <row r="10" spans="1:5" x14ac:dyDescent="0.25">
      <c r="A10" s="81" t="s">
        <v>172</v>
      </c>
      <c r="B10">
        <v>9</v>
      </c>
      <c r="C10" s="267">
        <f>+P9Payments</f>
        <v>0</v>
      </c>
    </row>
    <row r="11" spans="1:5" x14ac:dyDescent="0.25">
      <c r="A11" s="81" t="s">
        <v>183</v>
      </c>
      <c r="B11">
        <v>10</v>
      </c>
      <c r="C11" s="267">
        <f>+P10payments</f>
        <v>0</v>
      </c>
    </row>
    <row r="14" spans="1:5" x14ac:dyDescent="0.25">
      <c r="A14" s="20" t="s">
        <v>80</v>
      </c>
      <c r="B14" s="20" t="s">
        <v>80</v>
      </c>
      <c r="D14" s="20" t="s">
        <v>82</v>
      </c>
    </row>
    <row r="15" spans="1:5" x14ac:dyDescent="0.25">
      <c r="A15" s="20" t="s">
        <v>46</v>
      </c>
      <c r="B15" t="s">
        <v>88</v>
      </c>
      <c r="C15" t="str">
        <f t="shared" ref="C15:C32" si="0">+CONCATENATE(A15," ",B15)</f>
        <v>A3R2 Employee 2-Party</v>
      </c>
      <c r="D15">
        <v>5</v>
      </c>
    </row>
    <row r="16" spans="1:5" x14ac:dyDescent="0.25">
      <c r="A16" s="20" t="s">
        <v>46</v>
      </c>
      <c r="B16" t="s">
        <v>89</v>
      </c>
      <c r="C16" t="str">
        <f t="shared" si="0"/>
        <v>A3R2 Employee Family</v>
      </c>
      <c r="D16">
        <v>6</v>
      </c>
    </row>
    <row r="17" spans="1:4" x14ac:dyDescent="0.25">
      <c r="A17" s="20" t="s">
        <v>46</v>
      </c>
      <c r="B17" t="s">
        <v>87</v>
      </c>
      <c r="C17" t="str">
        <f t="shared" si="0"/>
        <v>A3R2 Employee Single</v>
      </c>
      <c r="D17">
        <v>4</v>
      </c>
    </row>
    <row r="18" spans="1:4" x14ac:dyDescent="0.25">
      <c r="A18" s="20" t="s">
        <v>46</v>
      </c>
      <c r="B18" t="s">
        <v>45</v>
      </c>
      <c r="C18" t="str">
        <f t="shared" si="0"/>
        <v>A3R2 Retiree Family</v>
      </c>
      <c r="D18">
        <v>8</v>
      </c>
    </row>
    <row r="19" spans="1:4" x14ac:dyDescent="0.25">
      <c r="A19" s="20" t="s">
        <v>46</v>
      </c>
      <c r="B19" t="s">
        <v>44</v>
      </c>
      <c r="C19" t="str">
        <f t="shared" si="0"/>
        <v>A3R2 Retiree Single</v>
      </c>
      <c r="D19">
        <v>7</v>
      </c>
    </row>
    <row r="20" spans="1:4" x14ac:dyDescent="0.25">
      <c r="A20" t="s">
        <v>42</v>
      </c>
      <c r="B20" t="s">
        <v>86</v>
      </c>
      <c r="C20" t="str">
        <f t="shared" si="0"/>
        <v>ACR2 Employee Composite</v>
      </c>
      <c r="D20">
        <v>1</v>
      </c>
    </row>
    <row r="21" spans="1:4" x14ac:dyDescent="0.25">
      <c r="A21" t="s">
        <v>42</v>
      </c>
      <c r="B21" t="s">
        <v>45</v>
      </c>
      <c r="C21" t="str">
        <f t="shared" si="0"/>
        <v>ACR2 Retiree Family</v>
      </c>
      <c r="D21">
        <v>3</v>
      </c>
    </row>
    <row r="22" spans="1:4" x14ac:dyDescent="0.25">
      <c r="A22" t="s">
        <v>42</v>
      </c>
      <c r="B22" t="s">
        <v>44</v>
      </c>
      <c r="C22" t="str">
        <f t="shared" si="0"/>
        <v>ACR2 Retiree Single</v>
      </c>
      <c r="D22">
        <v>2</v>
      </c>
    </row>
    <row r="23" spans="1:4" x14ac:dyDescent="0.25">
      <c r="A23" t="s">
        <v>52</v>
      </c>
      <c r="B23" t="s">
        <v>88</v>
      </c>
      <c r="C23" t="str">
        <f t="shared" si="0"/>
        <v>B3 Employee 2-Party</v>
      </c>
      <c r="D23">
        <v>14</v>
      </c>
    </row>
    <row r="24" spans="1:4" x14ac:dyDescent="0.25">
      <c r="A24" t="s">
        <v>52</v>
      </c>
      <c r="B24" t="s">
        <v>89</v>
      </c>
      <c r="C24" t="str">
        <f t="shared" si="0"/>
        <v>B3 Employee Family</v>
      </c>
      <c r="D24">
        <v>15</v>
      </c>
    </row>
    <row r="25" spans="1:4" x14ac:dyDescent="0.25">
      <c r="A25" t="s">
        <v>52</v>
      </c>
      <c r="B25" t="s">
        <v>87</v>
      </c>
      <c r="C25" t="str">
        <f t="shared" si="0"/>
        <v>B3 Employee Single</v>
      </c>
      <c r="D25">
        <v>13</v>
      </c>
    </row>
    <row r="26" spans="1:4" x14ac:dyDescent="0.25">
      <c r="A26" t="s">
        <v>52</v>
      </c>
      <c r="B26" t="s">
        <v>51</v>
      </c>
      <c r="C26" t="str">
        <f t="shared" si="0"/>
        <v>B3 Retiree 2-Party</v>
      </c>
      <c r="D26">
        <v>14</v>
      </c>
    </row>
    <row r="27" spans="1:4" x14ac:dyDescent="0.25">
      <c r="A27" t="s">
        <v>52</v>
      </c>
      <c r="B27" t="s">
        <v>45</v>
      </c>
      <c r="C27" t="str">
        <f t="shared" si="0"/>
        <v>B3 Retiree Family</v>
      </c>
      <c r="D27">
        <v>15</v>
      </c>
    </row>
    <row r="28" spans="1:4" x14ac:dyDescent="0.25">
      <c r="A28" t="s">
        <v>52</v>
      </c>
      <c r="B28" t="s">
        <v>44</v>
      </c>
      <c r="C28" t="str">
        <f t="shared" si="0"/>
        <v>B3 Retiree Single</v>
      </c>
      <c r="D28">
        <v>13</v>
      </c>
    </row>
    <row r="29" spans="1:4" x14ac:dyDescent="0.25">
      <c r="A29" t="s">
        <v>50</v>
      </c>
      <c r="B29" t="s">
        <v>86</v>
      </c>
      <c r="C29" t="str">
        <f t="shared" si="0"/>
        <v>BACR3 Employee Composite</v>
      </c>
      <c r="D29">
        <v>9</v>
      </c>
    </row>
    <row r="30" spans="1:4" x14ac:dyDescent="0.25">
      <c r="A30" t="s">
        <v>50</v>
      </c>
      <c r="B30" t="s">
        <v>51</v>
      </c>
      <c r="C30" t="str">
        <f t="shared" si="0"/>
        <v>BACR3 Retiree 2-Party</v>
      </c>
      <c r="D30">
        <v>11</v>
      </c>
    </row>
    <row r="31" spans="1:4" x14ac:dyDescent="0.25">
      <c r="A31" t="s">
        <v>50</v>
      </c>
      <c r="B31" t="s">
        <v>45</v>
      </c>
      <c r="C31" t="str">
        <f t="shared" si="0"/>
        <v>BACR3 Retiree Family</v>
      </c>
      <c r="D31">
        <v>12</v>
      </c>
    </row>
    <row r="32" spans="1:4" x14ac:dyDescent="0.25">
      <c r="A32" t="s">
        <v>50</v>
      </c>
      <c r="B32" t="s">
        <v>44</v>
      </c>
      <c r="C32" t="str">
        <f t="shared" si="0"/>
        <v>BACR3 Retiree Single</v>
      </c>
      <c r="D32">
        <v>10</v>
      </c>
    </row>
  </sheetData>
  <sortState xmlns:xlrd2="http://schemas.microsoft.com/office/spreadsheetml/2017/richdata2" ref="A2:E11">
    <sortCondition ref="A2:A11"/>
  </sortState>
  <pageMargins left="0.7" right="0.7" top="0.75" bottom="0.75" header="0.3" footer="0.3"/>
  <pageSetup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J26"/>
  <sheetViews>
    <sheetView topLeftCell="A9" workbookViewId="0">
      <selection activeCell="A23" sqref="A23:B26"/>
    </sheetView>
  </sheetViews>
  <sheetFormatPr defaultRowHeight="15.75" x14ac:dyDescent="0.25"/>
  <cols>
    <col min="1" max="1" width="9.28515625" bestFit="1" customWidth="1"/>
    <col min="2" max="4" width="10.28515625" bestFit="1" customWidth="1"/>
  </cols>
  <sheetData>
    <row r="1" spans="1:10" ht="18" x14ac:dyDescent="0.25">
      <c r="A1" s="8" t="s">
        <v>6</v>
      </c>
      <c r="B1" s="8"/>
    </row>
    <row r="2" spans="1:10" ht="18" x14ac:dyDescent="0.25">
      <c r="A2" s="8" t="s">
        <v>7</v>
      </c>
      <c r="B2" s="8"/>
    </row>
    <row r="5" spans="1:10" x14ac:dyDescent="0.25">
      <c r="A5" s="20" t="s">
        <v>0</v>
      </c>
      <c r="B5" s="20"/>
    </row>
    <row r="6" spans="1:10" x14ac:dyDescent="0.25">
      <c r="A6" s="20" t="s">
        <v>75</v>
      </c>
      <c r="B6" s="20"/>
    </row>
    <row r="7" spans="1:10" x14ac:dyDescent="0.25">
      <c r="A7" s="20"/>
      <c r="B7" s="20"/>
    </row>
    <row r="8" spans="1:10" x14ac:dyDescent="0.25">
      <c r="C8" s="20"/>
      <c r="F8" s="20"/>
    </row>
    <row r="9" spans="1:10" x14ac:dyDescent="0.25">
      <c r="A9" s="71"/>
      <c r="B9" s="71"/>
      <c r="C9" s="20"/>
    </row>
    <row r="10" spans="1:10" x14ac:dyDescent="0.25">
      <c r="A10" s="71" t="s">
        <v>0</v>
      </c>
      <c r="B10" s="74" t="s">
        <v>83</v>
      </c>
      <c r="C10" s="74" t="s">
        <v>84</v>
      </c>
      <c r="D10" s="74" t="s">
        <v>85</v>
      </c>
      <c r="E10" s="74"/>
      <c r="F10" s="74"/>
      <c r="G10" s="74"/>
    </row>
    <row r="11" spans="1:10" x14ac:dyDescent="0.25">
      <c r="A11" s="72" t="s">
        <v>157</v>
      </c>
      <c r="B11" s="20" t="s">
        <v>53</v>
      </c>
      <c r="C11" s="20" t="s">
        <v>54</v>
      </c>
      <c r="D11" s="20" t="s">
        <v>55</v>
      </c>
      <c r="E11" s="20"/>
      <c r="F11" s="20"/>
      <c r="G11" s="20"/>
    </row>
    <row r="12" spans="1:10" x14ac:dyDescent="0.25">
      <c r="A12" s="72" t="s">
        <v>42</v>
      </c>
      <c r="B12" s="72" t="s">
        <v>79</v>
      </c>
      <c r="C12" s="72" t="s">
        <v>79</v>
      </c>
      <c r="D12" s="72" t="s">
        <v>79</v>
      </c>
      <c r="E12" s="20"/>
      <c r="F12" s="20"/>
      <c r="G12" s="20"/>
      <c r="J12">
        <v>1</v>
      </c>
    </row>
    <row r="13" spans="1:10" x14ac:dyDescent="0.25">
      <c r="A13" t="s">
        <v>52</v>
      </c>
      <c r="B13" s="20" t="s">
        <v>53</v>
      </c>
      <c r="C13" s="20" t="s">
        <v>54</v>
      </c>
      <c r="D13" s="20" t="s">
        <v>55</v>
      </c>
      <c r="E13" s="20"/>
      <c r="F13" s="20"/>
      <c r="G13" s="20"/>
      <c r="I13" s="20" t="s">
        <v>158</v>
      </c>
      <c r="J13" t="str">
        <f>+VLOOKUP(I13,Employee,J12+1)</f>
        <v>Composite</v>
      </c>
    </row>
    <row r="14" spans="1:10" x14ac:dyDescent="0.25">
      <c r="A14" t="s">
        <v>50</v>
      </c>
      <c r="B14" s="20" t="s">
        <v>79</v>
      </c>
      <c r="C14" s="20" t="s">
        <v>79</v>
      </c>
      <c r="D14" s="20" t="s">
        <v>79</v>
      </c>
      <c r="E14" s="20"/>
      <c r="F14" s="20"/>
      <c r="G14" s="20"/>
    </row>
    <row r="15" spans="1:10" ht="16.5" customHeight="1" x14ac:dyDescent="0.25"/>
    <row r="16" spans="1:10" x14ac:dyDescent="0.25">
      <c r="A16" s="71" t="s">
        <v>75</v>
      </c>
      <c r="B16" s="74">
        <v>1</v>
      </c>
      <c r="C16" s="74">
        <v>2</v>
      </c>
      <c r="D16" s="74">
        <v>3</v>
      </c>
    </row>
    <row r="17" spans="1:10" x14ac:dyDescent="0.25">
      <c r="A17" s="72" t="s">
        <v>157</v>
      </c>
      <c r="B17" s="20" t="s">
        <v>53</v>
      </c>
      <c r="C17" s="20" t="s">
        <v>54</v>
      </c>
      <c r="D17" s="20" t="s">
        <v>55</v>
      </c>
    </row>
    <row r="18" spans="1:10" x14ac:dyDescent="0.25">
      <c r="A18" s="72" t="s">
        <v>42</v>
      </c>
      <c r="B18" s="20" t="s">
        <v>53</v>
      </c>
      <c r="C18" s="20" t="s">
        <v>55</v>
      </c>
      <c r="D18" s="20" t="s">
        <v>55</v>
      </c>
      <c r="J18">
        <v>3</v>
      </c>
    </row>
    <row r="19" spans="1:10" x14ac:dyDescent="0.25">
      <c r="A19" t="s">
        <v>52</v>
      </c>
      <c r="B19" s="20" t="s">
        <v>53</v>
      </c>
      <c r="C19" s="20" t="s">
        <v>54</v>
      </c>
      <c r="D19" s="20" t="s">
        <v>55</v>
      </c>
      <c r="I19" s="20" t="s">
        <v>158</v>
      </c>
      <c r="J19" t="str">
        <f>+VLOOKUP(I19,Retiree,J18+1)</f>
        <v>Family</v>
      </c>
    </row>
    <row r="20" spans="1:10" x14ac:dyDescent="0.25">
      <c r="A20" t="s">
        <v>50</v>
      </c>
      <c r="B20" s="20" t="s">
        <v>53</v>
      </c>
      <c r="C20" s="20" t="s">
        <v>54</v>
      </c>
      <c r="D20" s="20" t="s">
        <v>55</v>
      </c>
    </row>
    <row r="23" spans="1:10" x14ac:dyDescent="0.25">
      <c r="A23" s="339" t="s">
        <v>46</v>
      </c>
      <c r="B23" s="158">
        <v>1</v>
      </c>
    </row>
    <row r="24" spans="1:10" x14ac:dyDescent="0.25">
      <c r="A24" s="356" t="s">
        <v>42</v>
      </c>
      <c r="B24" s="158">
        <v>2</v>
      </c>
    </row>
    <row r="25" spans="1:10" x14ac:dyDescent="0.25">
      <c r="A25" s="339" t="s">
        <v>52</v>
      </c>
      <c r="B25" s="158">
        <v>3</v>
      </c>
    </row>
    <row r="26" spans="1:10" x14ac:dyDescent="0.25">
      <c r="A26" s="356" t="s">
        <v>50</v>
      </c>
      <c r="B26" s="158">
        <v>4</v>
      </c>
    </row>
  </sheetData>
  <sortState xmlns:xlrd2="http://schemas.microsoft.com/office/spreadsheetml/2017/richdata2" ref="A17:P20">
    <sortCondition ref="A17:A20"/>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56efcd7-ed7a-4bc4-a08a-459cd89e2908">
      <Terms xmlns="http://schemas.microsoft.com/office/infopath/2007/PartnerControls"/>
    </lcf76f155ced4ddcb4097134ff3c332f>
    <TaxCatchAll xmlns="5f6b82ce-ea67-44c3-9917-dadd8cabbc9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C879E2302F4A9408492E2F33FFCC4A4" ma:contentTypeVersion="13" ma:contentTypeDescription="Create a new document." ma:contentTypeScope="" ma:versionID="7c421f552fa88787211daed91244d333">
  <xsd:schema xmlns:xsd="http://www.w3.org/2001/XMLSchema" xmlns:xs="http://www.w3.org/2001/XMLSchema" xmlns:p="http://schemas.microsoft.com/office/2006/metadata/properties" xmlns:ns2="156efcd7-ed7a-4bc4-a08a-459cd89e2908" xmlns:ns3="5f6b82ce-ea67-44c3-9917-dadd8cabbc99" targetNamespace="http://schemas.microsoft.com/office/2006/metadata/properties" ma:root="true" ma:fieldsID="9ec3c49e3d80b0ee8f14ddb03ca8d131" ns2:_="" ns3:_="">
    <xsd:import namespace="156efcd7-ed7a-4bc4-a08a-459cd89e2908"/>
    <xsd:import namespace="5f6b82ce-ea67-44c3-9917-dadd8cabbc99"/>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6efcd7-ed7a-4bc4-a08a-459cd89e29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d8e407c0-559d-4cbe-be3c-715a4b170b0b"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f6b82ce-ea67-44c3-9917-dadd8cabbc99"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e37c0db4-2d16-4311-9df0-2f9d253ffe96}" ma:internalName="TaxCatchAll" ma:showField="CatchAllData" ma:web="5f6b82ce-ea67-44c3-9917-dadd8cabbc99">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I D A A B Q S w M E F A A C A A g A e V b l V k N n 6 f W i A A A A 9 g A A A B I A H A B D b 2 5 m a W c v U G F j a 2 F n Z S 5 4 b W w g o h g A K K A U A A A A A A A A A A A A A A A A A A A A A A A A A A A A h Y + 9 D o I w G E V f h X S n f y 6 E f J T B V R I T o n F t S o V G K I Y W y 7 s 5 + E i + g h h F 3 R z v u W e 4 9 3 6 9 Q T 5 1 b X T R g z O 9 z R D D F E X a q r 4 y t s 7 Q 6 I 9 x g n I B W 6 l O s t b R L F u X T q 7 K U O P 9 O S U k h I D D C v d D T T i l j B y K T a k a 3 U n 0 k c 1 / O T b W e W m V R g L 2 r z G C Y 8 Y S z C n H F M g C o T D 2 K / B 5 7 7 P 9 g b A e W z 8 O W m g b 7 0 o g S w T y / i A e U E s D B B Q A A g A I A H l W 5 V 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5 V u V W K I p H u A 4 A A A A R A A A A E w A c A E Z v c m 1 1 b G F z L 1 N l Y 3 R p b 2 4 x L m 0 g o h g A K K A U A A A A A A A A A A A A A A A A A A A A A A A A A A A A K 0 5 N L s n M z 1 M I h t C G 1 g B Q S w E C L Q A U A A I A C A B 5 V u V W Q 2 f p 9 a I A A A D 2 A A A A E g A A A A A A A A A A A A A A A A A A A A A A Q 2 9 u Z m l n L 1 B h Y 2 t h Z 2 U u e G 1 s U E s B A i 0 A F A A C A A g A e V b l V g / K 6 a u k A A A A 6 Q A A A B M A A A A A A A A A A A A A A A A A 7 g A A A F t D b 2 5 0 Z W 5 0 X 1 R 5 c G V z X S 5 4 b W x Q S w E C L Q A U A A I A C A B 5 V u V W 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X j k d A p x 0 i E u W Y F O H b 1 o h G Q A A A A A C A A A A A A A Q Z g A A A A E A A C A A A A A A W P V r t c I F t D 7 / Q o v u 9 v q l z U Y r r k f f c s N 2 9 y Q e Z h u H h A A A A A A O g A A A A A I A A C A A A A A 1 Y x f R z g s p c G 7 N z 6 F N E x W V h c b T r p r y A 7 h s 6 x Q S R 5 y u c l A A A A D f 2 G z 4 B M y 8 J A F + f m y r M O I c K c g Y y B 7 M K b 3 y s j 0 q 4 p + E R M s g f a B b 0 o i c W h h h e Y F K 9 V o U j 8 g s G 9 W + Y R H x u 7 v i Q t F S m c w y Q U T y b G i d u 6 5 I N V 2 7 1 k A A A A C Q k k j E C B h 4 R A x l h k 6 C n c M q 9 B i z 4 n g J m F 2 a 9 q 7 F m g z y D P j 7 K y g o U j S A i t 5 o l c 3 w w G T h / i + K l M R d z E A v u o 5 b g 0 N 3 < / D a t a M a s h u p > 
</file>

<file path=customXml/itemProps1.xml><?xml version="1.0" encoding="utf-8"?>
<ds:datastoreItem xmlns:ds="http://schemas.openxmlformats.org/officeDocument/2006/customXml" ds:itemID="{0C730C60-E90B-4E21-BC2B-D8A35FB8D35E}">
  <ds:schemaRefs>
    <ds:schemaRef ds:uri="http://schemas.microsoft.com/office/2006/metadata/properties"/>
    <ds:schemaRef ds:uri="http://schemas.microsoft.com/office/infopath/2007/PartnerControls"/>
    <ds:schemaRef ds:uri="156efcd7-ed7a-4bc4-a08a-459cd89e2908"/>
    <ds:schemaRef ds:uri="5f6b82ce-ea67-44c3-9917-dadd8cabbc99"/>
  </ds:schemaRefs>
</ds:datastoreItem>
</file>

<file path=customXml/itemProps2.xml><?xml version="1.0" encoding="utf-8"?>
<ds:datastoreItem xmlns:ds="http://schemas.openxmlformats.org/officeDocument/2006/customXml" ds:itemID="{C9401404-4E7F-4359-8F31-73A7A0E5968C}">
  <ds:schemaRefs>
    <ds:schemaRef ds:uri="http://schemas.microsoft.com/sharepoint/v3/contenttype/forms"/>
  </ds:schemaRefs>
</ds:datastoreItem>
</file>

<file path=customXml/itemProps3.xml><?xml version="1.0" encoding="utf-8"?>
<ds:datastoreItem xmlns:ds="http://schemas.openxmlformats.org/officeDocument/2006/customXml" ds:itemID="{3A033807-8079-469B-AB7E-46B8B222A9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6efcd7-ed7a-4bc4-a08a-459cd89e2908"/>
    <ds:schemaRef ds:uri="5f6b82ce-ea67-44c3-9917-dadd8cabbc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395B324-FC4F-4FAC-B349-7FB5C8FBF60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122</vt:i4>
      </vt:variant>
    </vt:vector>
  </HeadingPairs>
  <TitlesOfParts>
    <vt:vector size="129" baseType="lpstr">
      <vt:lpstr>User Input</vt:lpstr>
      <vt:lpstr>Results</vt:lpstr>
      <vt:lpstr>Estimated Costs</vt:lpstr>
      <vt:lpstr>UnitMenu</vt:lpstr>
      <vt:lpstr>MasterMenu</vt:lpstr>
      <vt:lpstr>Sheet2</vt:lpstr>
      <vt:lpstr>Other </vt:lpstr>
      <vt:lpstr>_CAC1</vt:lpstr>
      <vt:lpstr>_CAC2</vt:lpstr>
      <vt:lpstr>_CAC4</vt:lpstr>
      <vt:lpstr>_CBC1</vt:lpstr>
      <vt:lpstr>_CBC2</vt:lpstr>
      <vt:lpstr>_CBC3</vt:lpstr>
      <vt:lpstr>_CBC4</vt:lpstr>
      <vt:lpstr>_ERC1</vt:lpstr>
      <vt:lpstr>_ERC2</vt:lpstr>
      <vt:lpstr>_ERC3</vt:lpstr>
      <vt:lpstr>_ERC4</vt:lpstr>
      <vt:lpstr>_OVCH1</vt:lpstr>
      <vt:lpstr>_OVCH2</vt:lpstr>
      <vt:lpstr>_OVCH3</vt:lpstr>
      <vt:lpstr>_OVCH4</vt:lpstr>
      <vt:lpstr>_OVEE</vt:lpstr>
      <vt:lpstr>_OVSP</vt:lpstr>
      <vt:lpstr>_TMC1</vt:lpstr>
      <vt:lpstr>_TMC2</vt:lpstr>
      <vt:lpstr>_TMC3</vt:lpstr>
      <vt:lpstr>_TMC4</vt:lpstr>
      <vt:lpstr>cashinlieu1</vt:lpstr>
      <vt:lpstr>cashinlieu2</vt:lpstr>
      <vt:lpstr>CASP</vt:lpstr>
      <vt:lpstr>CBEE</vt:lpstr>
      <vt:lpstr>CBSP</vt:lpstr>
      <vt:lpstr>ClaimPayments</vt:lpstr>
      <vt:lpstr>ClaimsC1</vt:lpstr>
      <vt:lpstr>ClaimsC2</vt:lpstr>
      <vt:lpstr>ClaimsC3</vt:lpstr>
      <vt:lpstr>ClaimsC4</vt:lpstr>
      <vt:lpstr>ClaimsEE</vt:lpstr>
      <vt:lpstr>ClaimsSP</vt:lpstr>
      <vt:lpstr>CompositeComposite</vt:lpstr>
      <vt:lpstr>'User Input'!Covered</vt:lpstr>
      <vt:lpstr>CoveredDependents1</vt:lpstr>
      <vt:lpstr>covereddependents2</vt:lpstr>
      <vt:lpstr>Discountrows</vt:lpstr>
      <vt:lpstr>Discounts</vt:lpstr>
      <vt:lpstr>EERE1</vt:lpstr>
      <vt:lpstr>EERE2</vt:lpstr>
      <vt:lpstr>Employee</vt:lpstr>
      <vt:lpstr>ERContribution1</vt:lpstr>
      <vt:lpstr>ERContribution2</vt:lpstr>
      <vt:lpstr>EREE</vt:lpstr>
      <vt:lpstr>ERSP</vt:lpstr>
      <vt:lpstr>HospC1</vt:lpstr>
      <vt:lpstr>HospC2</vt:lpstr>
      <vt:lpstr>HospC3</vt:lpstr>
      <vt:lpstr>HospC4</vt:lpstr>
      <vt:lpstr>HospEE</vt:lpstr>
      <vt:lpstr>HospSP</vt:lpstr>
      <vt:lpstr>HWCC1</vt:lpstr>
      <vt:lpstr>HWCC2</vt:lpstr>
      <vt:lpstr>HWCC3</vt:lpstr>
      <vt:lpstr>HWCC4</vt:lpstr>
      <vt:lpstr>HWCEE</vt:lpstr>
      <vt:lpstr>HWCSP</vt:lpstr>
      <vt:lpstr>MaxOOP</vt:lpstr>
      <vt:lpstr>P10payments</vt:lpstr>
      <vt:lpstr>P1payments</vt:lpstr>
      <vt:lpstr>p2payments</vt:lpstr>
      <vt:lpstr>P3payments</vt:lpstr>
      <vt:lpstr>p4payments</vt:lpstr>
      <vt:lpstr>p5familypayments</vt:lpstr>
      <vt:lpstr>p5spayments</vt:lpstr>
      <vt:lpstr>p6payments</vt:lpstr>
      <vt:lpstr>P7Payments</vt:lpstr>
      <vt:lpstr>P8payments</vt:lpstr>
      <vt:lpstr>P9Payments</vt:lpstr>
      <vt:lpstr>PlanColumn</vt:lpstr>
      <vt:lpstr>PrevC1</vt:lpstr>
      <vt:lpstr>PrevC2</vt:lpstr>
      <vt:lpstr>PrevC3</vt:lpstr>
      <vt:lpstr>PrevC4</vt:lpstr>
      <vt:lpstr>PrevEE</vt:lpstr>
      <vt:lpstr>PrevSP</vt:lpstr>
      <vt:lpstr>Results!Print_Area</vt:lpstr>
      <vt:lpstr>'User Input'!Print_Area</vt:lpstr>
      <vt:lpstr>RateRow</vt:lpstr>
      <vt:lpstr>Rates</vt:lpstr>
      <vt:lpstr>RateStructure1</vt:lpstr>
      <vt:lpstr>ratestructure2</vt:lpstr>
      <vt:lpstr>Retiree</vt:lpstr>
      <vt:lpstr>RXCH1</vt:lpstr>
      <vt:lpstr>RXCH2</vt:lpstr>
      <vt:lpstr>RXCH3</vt:lpstr>
      <vt:lpstr>RXCH4</vt:lpstr>
      <vt:lpstr>RXEE</vt:lpstr>
      <vt:lpstr>RXSP</vt:lpstr>
      <vt:lpstr>RXUnitCost</vt:lpstr>
      <vt:lpstr>'User Input'!scenario</vt:lpstr>
      <vt:lpstr>Sp1Plan1</vt:lpstr>
      <vt:lpstr>Sp1Plan2</vt:lpstr>
      <vt:lpstr>Sp1Plan3</vt:lpstr>
      <vt:lpstr>Sp1Plan4</vt:lpstr>
      <vt:lpstr>Sp1Plan5</vt:lpstr>
      <vt:lpstr>Sp1Plan6</vt:lpstr>
      <vt:lpstr>Sp1Plan7</vt:lpstr>
      <vt:lpstr>Sp2Plan1</vt:lpstr>
      <vt:lpstr>Sp2Plan2</vt:lpstr>
      <vt:lpstr>Sp2Plan3</vt:lpstr>
      <vt:lpstr>Sp2Plan4</vt:lpstr>
      <vt:lpstr>Sp2Plan5</vt:lpstr>
      <vt:lpstr>Sp2Plan6</vt:lpstr>
      <vt:lpstr>Sp2Plan7</vt:lpstr>
      <vt:lpstr>Status</vt:lpstr>
      <vt:lpstr>Tier1</vt:lpstr>
      <vt:lpstr>Tier2</vt:lpstr>
      <vt:lpstr>TMEE</vt:lpstr>
      <vt:lpstr>TMSP</vt:lpstr>
      <vt:lpstr>Totalmedcosts</vt:lpstr>
      <vt:lpstr>TotalMedEE</vt:lpstr>
      <vt:lpstr>TotalRXCost</vt:lpstr>
      <vt:lpstr>TotalRXEE</vt:lpstr>
      <vt:lpstr>Unit1</vt:lpstr>
      <vt:lpstr>Unit2</vt:lpstr>
      <vt:lpstr>UnitCost</vt:lpstr>
      <vt:lpstr>Unitmenu</vt:lpstr>
      <vt:lpstr>UnitRate</vt:lpstr>
      <vt:lpstr>units</vt:lpstr>
      <vt:lpstr>YesNo</vt:lpstr>
    </vt:vector>
  </TitlesOfParts>
  <Company>BCOE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Authorized User</dc:creator>
  <cp:lastModifiedBy>Nicole Strauch</cp:lastModifiedBy>
  <cp:lastPrinted>2023-07-05T17:37:30Z</cp:lastPrinted>
  <dcterms:created xsi:type="dcterms:W3CDTF">2010-04-11T21:47:56Z</dcterms:created>
  <dcterms:modified xsi:type="dcterms:W3CDTF">2023-08-21T17:54:36Z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0x0101004C879E2302F4A9408492E2F33FFCC4A4</vt:lpwstr>
  </property>
  <property fmtid="{D5CDD505-2E9C-101B-9397-08002B2CF9AE}" pid="3" name="Order">
    <vt:r8>5774400</vt:r8>
  </property>
  <property fmtid="{D5CDD505-2E9C-101B-9397-08002B2CF9AE}" pid="4" name="MediaServiceImageTags">
    <vt:lpwstr/>
  </property>
</Properties>
</file>