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https://butteschoolsjpa.sharepoint.com/sites/BSSPJPA/Shared Documents/JPA/Fiscal 26-27/Benefits/Open Enrollment/"/>
    </mc:Choice>
  </mc:AlternateContent>
  <xr:revisionPtr revIDLastSave="306" documentId="8_{E16E912D-DE41-4C01-87F3-480C4560752F}" xr6:coauthVersionLast="47" xr6:coauthVersionMax="47" xr10:uidLastSave="{048951E5-0ED9-4E66-ADF7-F908DB8A3798}"/>
  <workbookProtection workbookAlgorithmName="SHA-512" workbookHashValue="Jt64YVHf8KHGcTLa4rDTSmRr/2OpSK5SiFNlaUhsLXNlSUzqSeMmP2elXklDszd6hREarZtso7o1cmgevII71w==" workbookSaltValue="G7ilKjsUyVLRhwgEHYjZOg==" workbookSpinCount="100000" lockStructure="1"/>
  <bookViews>
    <workbookView xWindow="-23148" yWindow="-108" windowWidth="23256" windowHeight="12456" xr2:uid="{0691D241-4CBC-4E96-A764-00C53E4BB4B0}"/>
  </bookViews>
  <sheets>
    <sheet name="Summary" sheetId="1" r:id="rId1"/>
    <sheet name="Scenario Input" sheetId="19" r:id="rId2"/>
    <sheet name="Scenario Results" sheetId="16" r:id="rId3"/>
    <sheet name="Estimated Costs" sheetId="3" state="hidden" r:id="rId4"/>
    <sheet name="UnitMenu" sheetId="4" state="hidden" r:id="rId5"/>
    <sheet name="MasterMenu" sheetId="5" state="hidden" r:id="rId6"/>
    <sheet name="Sheet2" sheetId="9" state="hidden" r:id="rId7"/>
    <sheet name="Other " sheetId="6" state="hidden" r:id="rId8"/>
  </sheets>
  <definedNames>
    <definedName name="_CAC1">'Estimated Costs'!$D$10</definedName>
    <definedName name="_CAC2">'Estimated Costs'!$E$10</definedName>
    <definedName name="_CAC4">'Estimated Costs'!$G$10</definedName>
    <definedName name="_CBC1">'Estimated Costs'!$D$20</definedName>
    <definedName name="_CBC2">'Estimated Costs'!$E$20</definedName>
    <definedName name="_CBC3">'Estimated Costs'!$F$20</definedName>
    <definedName name="_CBC4">'Estimated Costs'!$G$20</definedName>
    <definedName name="_ERC1">'Estimated Costs'!$D$16</definedName>
    <definedName name="_ERC2">'Estimated Costs'!$E$16</definedName>
    <definedName name="_ERC3">'Estimated Costs'!$F$16</definedName>
    <definedName name="_ERC4">'Estimated Costs'!$G$16</definedName>
    <definedName name="_xlnm._FilterDatabase" localSheetId="1" hidden="1">'Scenario Input'!$U$12:$U$12</definedName>
    <definedName name="_xlnm._FilterDatabase" localSheetId="0" hidden="1">Summary!$S$9:$S$20</definedName>
    <definedName name="_xlnm._FilterDatabase" localSheetId="4" hidden="1">UnitMenu!$A$1:$I$6</definedName>
    <definedName name="_OVC1" localSheetId="2">'Estimated Costs'!#REF!</definedName>
    <definedName name="_OVC1">'Estimated Costs'!#REF!</definedName>
    <definedName name="_OVC2" localSheetId="2">'Estimated Costs'!#REF!</definedName>
    <definedName name="_OVC2">'Estimated Costs'!#REF!</definedName>
    <definedName name="_OVC3" localSheetId="2">'Estimated Costs'!#REF!</definedName>
    <definedName name="_OVC3">'Estimated Costs'!#REF!</definedName>
    <definedName name="_OVC4" localSheetId="2">'Estimated Costs'!#REF!</definedName>
    <definedName name="_OVC4">'Estimated Costs'!#REF!</definedName>
    <definedName name="_OVCH1">'Estimated Costs'!$D$10</definedName>
    <definedName name="_OVCH2">'Estimated Costs'!$E$10</definedName>
    <definedName name="_OVCH3">'Estimated Costs'!$F$10</definedName>
    <definedName name="_OVCH4">'Estimated Costs'!$G$10</definedName>
    <definedName name="_OVEE">'Estimated Costs'!$B$10</definedName>
    <definedName name="_OVSP">'Estimated Costs'!$C$10</definedName>
    <definedName name="_TMC1">'Estimated Costs'!$D$6</definedName>
    <definedName name="_TMC2">'Estimated Costs'!$E$6</definedName>
    <definedName name="_TMC3">'Estimated Costs'!$F$6</definedName>
    <definedName name="_TMC4">'Estimated Costs'!$G$6</definedName>
    <definedName name="Cashinlieu" localSheetId="1">'Scenario Input'!#REF!</definedName>
    <definedName name="Cashinlieu">Summary!$K$15</definedName>
    <definedName name="CASP">'Estimated Costs'!$C$10</definedName>
    <definedName name="CBEE">'Estimated Costs'!$B$20</definedName>
    <definedName name="CBSP">'Estimated Costs'!$C$20</definedName>
    <definedName name="ClaimPayments">Sheet2!$A$2:$C$8</definedName>
    <definedName name="ClaimsC1">'Estimated Costs'!$D$2:$D$20</definedName>
    <definedName name="ClaimsC2">'Estimated Costs'!$E$2:$E$20</definedName>
    <definedName name="ClaimsC3">'Estimated Costs'!$F$2:$F$20</definedName>
    <definedName name="ClaimsC4">'Estimated Costs'!$G$2:$G$20</definedName>
    <definedName name="ClaimsEE">'Estimated Costs'!$B$2:$B$20</definedName>
    <definedName name="ClaimsSP">'Estimated Costs'!$C$2:$C$20</definedName>
    <definedName name="Covered" localSheetId="1">'Scenario Input'!$U$12:$U$12</definedName>
    <definedName name="Covered">Summary!$S$9:$S$20</definedName>
    <definedName name="CoveredDependents" localSheetId="1">'Scenario Input'!#REF!</definedName>
    <definedName name="CoveredDependents">Summary!$V$20</definedName>
    <definedName name="EERE" localSheetId="1">'Scenario Input'!#REF!</definedName>
    <definedName name="EERE">Summary!$K$11</definedName>
    <definedName name="Employee">'Other '!$A$11:$D$14</definedName>
    <definedName name="ERContribution" localSheetId="1">'Scenario Input'!#REF!</definedName>
    <definedName name="ERContribution">Summary!$K$13</definedName>
    <definedName name="EREE">'Estimated Costs'!$B$16</definedName>
    <definedName name="ERSP">'Estimated Costs'!$C$16</definedName>
    <definedName name="Hosp" localSheetId="2">#REF!</definedName>
    <definedName name="Hosp">#REF!</definedName>
    <definedName name="HospC1">'Estimated Costs'!$D$14</definedName>
    <definedName name="HospC2">'Estimated Costs'!$E$14</definedName>
    <definedName name="HospC3">'Estimated Costs'!$F$14</definedName>
    <definedName name="HospC4">'Estimated Costs'!$G$14</definedName>
    <definedName name="HospEE">'Estimated Costs'!$B$14</definedName>
    <definedName name="HospSP">'Estimated Costs'!$C$14</definedName>
    <definedName name="HSAA" localSheetId="2">'Estimated Costs'!#REF!</definedName>
    <definedName name="HSAA">'Estimated Costs'!#REF!</definedName>
    <definedName name="HWCC1">'Estimated Costs'!$D$4</definedName>
    <definedName name="HWCC2">'Estimated Costs'!$E$4</definedName>
    <definedName name="HWCC3">'Estimated Costs'!$F$4</definedName>
    <definedName name="HWCC4">'Estimated Costs'!$G$4</definedName>
    <definedName name="HWCEE">'Estimated Costs'!$B$4</definedName>
    <definedName name="HWCSP">'Estimated Costs'!$C$4</definedName>
    <definedName name="MaxOOP">MasterMenu!$E$2:$K$41</definedName>
    <definedName name="mecpayment" localSheetId="2">'Estimated Costs'!#REF!</definedName>
    <definedName name="mecpayment">'Estimated Costs'!#REF!</definedName>
    <definedName name="NonpreventiveHWC" localSheetId="2">#REF!</definedName>
    <definedName name="NonpreventiveHWC">#REF!</definedName>
    <definedName name="OV" localSheetId="2">#REF!</definedName>
    <definedName name="OV">#REF!</definedName>
    <definedName name="OVEE" localSheetId="2">'Estimated Costs'!#REF!</definedName>
    <definedName name="OVEE">'Estimated Costs'!#REF!</definedName>
    <definedName name="OVSP" localSheetId="2">'Estimated Costs'!#REF!</definedName>
    <definedName name="OVSP">'Estimated Costs'!#REF!</definedName>
    <definedName name="P1payments">'Estimated Costs'!$I$49</definedName>
    <definedName name="p2payments">'Estimated Costs'!$I$65</definedName>
    <definedName name="P3payments">'Estimated Costs'!$I$81</definedName>
    <definedName name="p4payments">'Estimated Costs'!$I$97</definedName>
    <definedName name="p5familypayments">'Estimated Costs'!$I$131</definedName>
    <definedName name="p5spayments">'Estimated Costs'!$I$114</definedName>
    <definedName name="p6payments">'Estimated Costs'!$I$148</definedName>
    <definedName name="P7Payments">'Estimated Costs'!$I$165</definedName>
    <definedName name="PlanColumn">Sheet2!$A$2:$B$8</definedName>
    <definedName name="PrevC1">'Estimated Costs'!$D$2</definedName>
    <definedName name="PrevC2">'Estimated Costs'!$E$2</definedName>
    <definedName name="PrevC3">'Estimated Costs'!$F$2</definedName>
    <definedName name="PrevC4">'Estimated Costs'!$G$2</definedName>
    <definedName name="PrevEE">'Estimated Costs'!$B$2</definedName>
    <definedName name="Preventiveexam" localSheetId="2">#REF!</definedName>
    <definedName name="Preventiveexam">#REF!</definedName>
    <definedName name="PrevSP">'Estimated Costs'!$C$2</definedName>
    <definedName name="_xlnm.Print_Area" localSheetId="1">'Scenario Input'!$A$1:$O$48</definedName>
    <definedName name="_xlnm.Print_Area" localSheetId="2">'Scenario Results'!$A$1:$L$55</definedName>
    <definedName name="_xlnm.Print_Area" localSheetId="0">Summary!$A$1:$Y$62</definedName>
    <definedName name="RateRow">Sheet2!$C$11:$D$29</definedName>
    <definedName name="Rates">MasterMenu!$E$3:$K$17</definedName>
    <definedName name="RateStructure" localSheetId="1">'Scenario Input'!#REF!</definedName>
    <definedName name="RateStructure">Summary!$P$9</definedName>
    <definedName name="Results" localSheetId="2">#REF!</definedName>
    <definedName name="Results">#REF!</definedName>
    <definedName name="Retiree">'Other '!$A$17:$D$20</definedName>
    <definedName name="RXCH1">'Estimated Costs'!$D$25:$D$31</definedName>
    <definedName name="RXCH2">'Estimated Costs'!$E$25:$E$31</definedName>
    <definedName name="RXCH3">'Estimated Costs'!$F$25:$F$31</definedName>
    <definedName name="RXCH4">'Estimated Costs'!$G$25:$G$31</definedName>
    <definedName name="RXEE">'Estimated Costs'!$B$25:$B$31</definedName>
    <definedName name="RXSP">'Estimated Costs'!$C$25:$C$31</definedName>
    <definedName name="RXUnitCost">'Estimated Costs'!$I$25:$I$31</definedName>
    <definedName name="Scenario">'Scenario Input'!$D$11</definedName>
    <definedName name="Status">'Other '!$A$5:$A$6</definedName>
    <definedName name="Tier" localSheetId="1">'Scenario Input'!#REF!</definedName>
    <definedName name="Tier">Summary!$P$20</definedName>
    <definedName name="TMEE">'Estimated Costs'!$B$6</definedName>
    <definedName name="TMSP">'Estimated Costs'!$C$6</definedName>
    <definedName name="TotalClaims" localSheetId="2">'Estimated Costs'!#REF!</definedName>
    <definedName name="TotalClaims">'Estimated Costs'!#REF!</definedName>
    <definedName name="Totalmedcosts">'Estimated Costs'!$H$21</definedName>
    <definedName name="TotalMedEE">'Estimated Costs'!$B$21</definedName>
    <definedName name="TotalRXCost">'Estimated Costs'!$J$32</definedName>
    <definedName name="TotalRXEE">'Estimated Costs'!$AN$32</definedName>
    <definedName name="Unit" localSheetId="1">'Scenario Input'!#REF!</definedName>
    <definedName name="Unit">Summary!$K$9</definedName>
    <definedName name="UnitCost">'Estimated Costs'!$I$2:$I$20</definedName>
    <definedName name="Unitmenu">UnitMenu!$A$2:$I$6</definedName>
    <definedName name="UnitRate">UnitMenu!$A$2:$B$6</definedName>
    <definedName name="units">UnitMenu!$A$2:$A$6</definedName>
    <definedName name="YesNo">'Other '!$A$1:$A$2</definedName>
  </definedNames>
  <calcPr calcId="191028"/>
  <webPublishObjects count="2">
    <webPublishObject id="15388" divId="Estimated Claim Costs_15388" destinationFile="\\goddard\public\Joint Powers Authority\Financials 10-11\Benefits\Anthem\Estimated Claim Costs.htm"/>
    <webPublishObject id="21968" divId="Estimated Claim Costs_21968" destinationFile="\\goddard\public\Joint Powers Authority\Financials 10-11\Benefits\Anthem\Estimated Claim Costs.mht"/>
  </webPublishObject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8" i="3" l="1"/>
  <c r="J27" i="3"/>
  <c r="J26" i="3"/>
  <c r="A31" i="3"/>
  <c r="A30" i="3"/>
  <c r="A29" i="3"/>
  <c r="A28" i="3"/>
  <c r="A27" i="3"/>
  <c r="A26" i="3"/>
  <c r="D10" i="16"/>
  <c r="K10" i="16"/>
  <c r="W23" i="1"/>
  <c r="V23" i="1"/>
  <c r="I31" i="3"/>
  <c r="G31" i="3"/>
  <c r="F31" i="3"/>
  <c r="E31" i="3"/>
  <c r="D31" i="3"/>
  <c r="C31" i="3"/>
  <c r="B31" i="3"/>
  <c r="I30" i="3"/>
  <c r="G30" i="3"/>
  <c r="F30" i="3"/>
  <c r="E30" i="3"/>
  <c r="D30" i="3"/>
  <c r="C30" i="3"/>
  <c r="B30" i="3"/>
  <c r="I29" i="3"/>
  <c r="G29" i="3"/>
  <c r="F29" i="3"/>
  <c r="E29" i="3"/>
  <c r="D29" i="3"/>
  <c r="C29" i="3"/>
  <c r="B29" i="3"/>
  <c r="H29" i="3" s="1"/>
  <c r="I28" i="3"/>
  <c r="G28" i="3"/>
  <c r="F28" i="3"/>
  <c r="E28" i="3"/>
  <c r="D28" i="3"/>
  <c r="C28" i="3"/>
  <c r="B28" i="3"/>
  <c r="H28" i="3" s="1"/>
  <c r="I27" i="3"/>
  <c r="G27" i="3"/>
  <c r="F27" i="3"/>
  <c r="E27" i="3"/>
  <c r="D27" i="3"/>
  <c r="C27" i="3"/>
  <c r="B27" i="3"/>
  <c r="H27" i="3" s="1"/>
  <c r="I26" i="3"/>
  <c r="G26" i="3"/>
  <c r="F26" i="3"/>
  <c r="E26" i="3"/>
  <c r="D26" i="3"/>
  <c r="C26" i="3"/>
  <c r="B26" i="3"/>
  <c r="H26" i="3" s="1"/>
  <c r="I25" i="3"/>
  <c r="G25" i="3"/>
  <c r="F25" i="3"/>
  <c r="E25" i="3"/>
  <c r="D25" i="3"/>
  <c r="C25" i="3"/>
  <c r="B25" i="3"/>
  <c r="A25" i="3"/>
  <c r="I20" i="3"/>
  <c r="G20" i="3"/>
  <c r="F20" i="3"/>
  <c r="E20" i="3"/>
  <c r="D20" i="3"/>
  <c r="C20" i="3"/>
  <c r="B20" i="3"/>
  <c r="H20" i="3" s="1"/>
  <c r="J20" i="3" s="1"/>
  <c r="A20" i="3"/>
  <c r="I18" i="3"/>
  <c r="G18" i="3"/>
  <c r="F18" i="3"/>
  <c r="E18" i="3"/>
  <c r="D18" i="3"/>
  <c r="C18" i="3"/>
  <c r="B18" i="3"/>
  <c r="A18" i="3"/>
  <c r="I16" i="3"/>
  <c r="G16" i="3"/>
  <c r="F16" i="3"/>
  <c r="E16" i="3"/>
  <c r="D16" i="3"/>
  <c r="C16" i="3"/>
  <c r="B16" i="3"/>
  <c r="A16" i="3"/>
  <c r="I14" i="3"/>
  <c r="G14" i="3"/>
  <c r="F14" i="3"/>
  <c r="E14" i="3"/>
  <c r="D14" i="3"/>
  <c r="C14" i="3"/>
  <c r="B14" i="3"/>
  <c r="A14" i="3"/>
  <c r="I12" i="3"/>
  <c r="G12" i="3"/>
  <c r="F12" i="3"/>
  <c r="E12" i="3"/>
  <c r="D12" i="3"/>
  <c r="C12" i="3"/>
  <c r="B12" i="3"/>
  <c r="A12" i="3"/>
  <c r="I10" i="3"/>
  <c r="G10" i="3"/>
  <c r="F10" i="3"/>
  <c r="E10" i="3"/>
  <c r="D10" i="3"/>
  <c r="C10" i="3"/>
  <c r="B10" i="3"/>
  <c r="H10" i="3" s="1"/>
  <c r="J10" i="3" s="1"/>
  <c r="A10" i="3"/>
  <c r="I8" i="3"/>
  <c r="G8" i="3"/>
  <c r="F8" i="3"/>
  <c r="E8" i="3"/>
  <c r="D8" i="3"/>
  <c r="C8" i="3"/>
  <c r="B8" i="3"/>
  <c r="H8" i="3" s="1"/>
  <c r="J8" i="3" s="1"/>
  <c r="A8" i="3"/>
  <c r="I6" i="3"/>
  <c r="E6" i="3"/>
  <c r="G6" i="3"/>
  <c r="F6" i="3"/>
  <c r="D6" i="3"/>
  <c r="C6" i="3"/>
  <c r="B6" i="3"/>
  <c r="A6" i="3"/>
  <c r="I4" i="3"/>
  <c r="G4" i="3"/>
  <c r="F4" i="3"/>
  <c r="E4" i="3"/>
  <c r="D4" i="3"/>
  <c r="C4" i="3"/>
  <c r="B4" i="3"/>
  <c r="A4" i="3"/>
  <c r="I2" i="3"/>
  <c r="G2" i="3"/>
  <c r="F2" i="3"/>
  <c r="E2" i="3"/>
  <c r="D2" i="3"/>
  <c r="C2" i="3"/>
  <c r="B2" i="3"/>
  <c r="A2" i="3"/>
  <c r="E6" i="16" a="1"/>
  <c r="E6" i="16" s="1"/>
  <c r="J6" i="16"/>
  <c r="M11" i="19"/>
  <c r="E40" i="16"/>
  <c r="E86" i="16" s="1"/>
  <c r="F40" i="16"/>
  <c r="F86" i="16" s="1"/>
  <c r="D44" i="16"/>
  <c r="J66" i="16"/>
  <c r="K66" i="16" s="1"/>
  <c r="I66" i="16"/>
  <c r="H66" i="16"/>
  <c r="G66" i="16"/>
  <c r="F66" i="16"/>
  <c r="E66" i="16"/>
  <c r="F83" i="16"/>
  <c r="G83" i="16"/>
  <c r="H83" i="16"/>
  <c r="I83" i="16"/>
  <c r="J83" i="16"/>
  <c r="K83" i="16"/>
  <c r="E83" i="16"/>
  <c r="G40" i="16"/>
  <c r="G86" i="16" s="1"/>
  <c r="H40" i="16"/>
  <c r="H86" i="16" s="1"/>
  <c r="I40" i="16"/>
  <c r="I86" i="16" s="1"/>
  <c r="J40" i="16"/>
  <c r="E41" i="16"/>
  <c r="F41" i="16"/>
  <c r="G41" i="16"/>
  <c r="H41" i="16"/>
  <c r="I41" i="16"/>
  <c r="J29" i="3" l="1"/>
  <c r="H31" i="3"/>
  <c r="J31" i="3" s="1"/>
  <c r="AN29" i="3"/>
  <c r="AN28" i="3"/>
  <c r="AN27" i="3"/>
  <c r="AN26" i="3"/>
  <c r="H30" i="3"/>
  <c r="J30" i="3" s="1"/>
  <c r="AN30" i="3" s="1"/>
  <c r="H16" i="3"/>
  <c r="J16" i="3" s="1"/>
  <c r="H12" i="3"/>
  <c r="J12" i="3" s="1"/>
  <c r="H18" i="3"/>
  <c r="J18" i="3" s="1"/>
  <c r="H14" i="3"/>
  <c r="J14" i="3" s="1"/>
  <c r="J41" i="16"/>
  <c r="J86" i="16"/>
  <c r="K40" i="16"/>
  <c r="A151" i="3"/>
  <c r="J130" i="3"/>
  <c r="K41" i="16" l="1"/>
  <c r="K86" i="16"/>
  <c r="J113" i="3"/>
  <c r="I78" i="3"/>
  <c r="J58" i="3"/>
  <c r="J74" i="3"/>
  <c r="J78" i="3"/>
  <c r="J94" i="3"/>
  <c r="B117" i="3"/>
  <c r="A117" i="3"/>
  <c r="B100" i="3"/>
  <c r="A100" i="3"/>
  <c r="A84" i="3"/>
  <c r="B84" i="3"/>
  <c r="J90" i="3"/>
  <c r="I94" i="3"/>
  <c r="B68" i="3"/>
  <c r="B52" i="3"/>
  <c r="A68" i="3"/>
  <c r="A52" i="3"/>
  <c r="B36" i="3"/>
  <c r="J46" i="3"/>
  <c r="M46" i="3" s="1"/>
  <c r="J42" i="3"/>
  <c r="A36" i="3"/>
  <c r="K10" i="5"/>
  <c r="J10" i="5"/>
  <c r="I10" i="5"/>
  <c r="H10" i="5"/>
  <c r="G10" i="5"/>
  <c r="F10" i="5"/>
  <c r="K9" i="5"/>
  <c r="J9" i="5"/>
  <c r="I9" i="5"/>
  <c r="H9" i="5"/>
  <c r="G9" i="5"/>
  <c r="F9" i="5"/>
  <c r="E10" i="5"/>
  <c r="E9" i="5"/>
  <c r="J1" i="5" l="1"/>
  <c r="K1" i="5"/>
  <c r="H24" i="5"/>
  <c r="H23" i="5"/>
  <c r="I37" i="5"/>
  <c r="I36" i="5"/>
  <c r="I35" i="5"/>
  <c r="I34" i="5"/>
  <c r="I24" i="5"/>
  <c r="I23" i="5"/>
  <c r="G24" i="5"/>
  <c r="G23" i="5"/>
  <c r="F72" i="16" l="1"/>
  <c r="F81" i="16"/>
  <c r="J81" i="16"/>
  <c r="I72" i="16"/>
  <c r="I81" i="16"/>
  <c r="H72" i="16"/>
  <c r="H81" i="16"/>
  <c r="G72" i="16"/>
  <c r="G81" i="16"/>
  <c r="J72" i="16"/>
  <c r="E72" i="16" l="1"/>
  <c r="E81" i="16"/>
  <c r="K72" i="16"/>
  <c r="K81" i="16"/>
  <c r="J164" i="3"/>
  <c r="B151" i="3"/>
  <c r="K37" i="5" l="1"/>
  <c r="K36" i="5"/>
  <c r="K35" i="5"/>
  <c r="K34" i="5"/>
  <c r="K24" i="5"/>
  <c r="K23" i="5"/>
  <c r="J13" i="6" l="1"/>
  <c r="J19" i="6"/>
  <c r="E69" i="16" l="1"/>
  <c r="E78" i="16"/>
  <c r="F69" i="16"/>
  <c r="F78" i="16"/>
  <c r="G78" i="16"/>
  <c r="G69" i="16"/>
  <c r="H78" i="16"/>
  <c r="H69" i="16"/>
  <c r="I78" i="16"/>
  <c r="I69" i="16"/>
  <c r="J78" i="16" l="1"/>
  <c r="J69" i="16"/>
  <c r="AF30" i="3"/>
  <c r="X31" i="3"/>
  <c r="P29" i="3"/>
  <c r="K78" i="16" l="1"/>
  <c r="K69" i="16"/>
  <c r="P30" i="3"/>
  <c r="X30" i="3"/>
  <c r="AF31" i="3"/>
  <c r="P31" i="3"/>
  <c r="X29" i="3"/>
  <c r="AF29" i="3"/>
  <c r="P28" i="3" l="1"/>
  <c r="X28" i="3"/>
  <c r="AF28" i="3"/>
  <c r="P27" i="3"/>
  <c r="AF27" i="3"/>
  <c r="X27" i="3"/>
  <c r="AF26" i="3"/>
  <c r="P26" i="3"/>
  <c r="X26" i="3"/>
  <c r="J147" i="3"/>
  <c r="J62" i="3"/>
  <c r="M62" i="3" s="1"/>
  <c r="B134" i="3" l="1"/>
  <c r="AN31" i="3" l="1"/>
  <c r="AV31" i="3" s="1"/>
  <c r="B92" i="3" l="1"/>
  <c r="B76" i="3"/>
  <c r="B44" i="3"/>
  <c r="AV30" i="3"/>
  <c r="AV29" i="3" s="1"/>
  <c r="AV28" i="3" s="1"/>
  <c r="AV27" i="3" s="1"/>
  <c r="AV26" i="3" s="1"/>
  <c r="G86" i="3" l="1"/>
  <c r="G88" i="3" s="1"/>
  <c r="G54" i="3"/>
  <c r="G56" i="3" s="1"/>
  <c r="G70" i="3"/>
  <c r="G72" i="3" s="1"/>
  <c r="G38" i="3"/>
  <c r="G40" i="3" s="1"/>
  <c r="J37" i="5"/>
  <c r="J36" i="5"/>
  <c r="J35" i="5"/>
  <c r="J34" i="5"/>
  <c r="F54" i="3" l="1"/>
  <c r="F56" i="3" s="1"/>
  <c r="F86" i="3"/>
  <c r="F88" i="3" s="1"/>
  <c r="F70" i="3"/>
  <c r="F72" i="3" s="1"/>
  <c r="E70" i="3"/>
  <c r="E72" i="3" s="1"/>
  <c r="E86" i="3"/>
  <c r="E88" i="3" s="1"/>
  <c r="E54" i="3"/>
  <c r="E56" i="3" s="1"/>
  <c r="E119" i="3"/>
  <c r="E121" i="3" s="1"/>
  <c r="E122" i="3" s="1"/>
  <c r="E123" i="3" s="1"/>
  <c r="E71" i="3"/>
  <c r="E55" i="3"/>
  <c r="E39" i="3"/>
  <c r="E87" i="3"/>
  <c r="B70" i="3"/>
  <c r="B72" i="3" s="1"/>
  <c r="B86" i="3"/>
  <c r="B88" i="3" s="1"/>
  <c r="B54" i="3"/>
  <c r="B56" i="3" s="1"/>
  <c r="D86" i="3"/>
  <c r="D88" i="3" s="1"/>
  <c r="D70" i="3"/>
  <c r="D72" i="3" s="1"/>
  <c r="D54" i="3"/>
  <c r="D56" i="3" s="1"/>
  <c r="C86" i="3"/>
  <c r="C88" i="3" s="1"/>
  <c r="C70" i="3"/>
  <c r="C72" i="3" s="1"/>
  <c r="C54" i="3"/>
  <c r="C56" i="3" s="1"/>
  <c r="C87" i="3"/>
  <c r="C71" i="3"/>
  <c r="C119" i="3"/>
  <c r="C121" i="3" s="1"/>
  <c r="C122" i="3" s="1"/>
  <c r="C123" i="3" s="1"/>
  <c r="C39" i="3"/>
  <c r="C55" i="3"/>
  <c r="B39" i="3"/>
  <c r="B55" i="3"/>
  <c r="B119" i="3"/>
  <c r="B121" i="3" s="1"/>
  <c r="B122" i="3" s="1"/>
  <c r="B123" i="3" s="1"/>
  <c r="B102" i="3"/>
  <c r="B87" i="3"/>
  <c r="B71" i="3"/>
  <c r="D39" i="3"/>
  <c r="D87" i="3"/>
  <c r="D119" i="3"/>
  <c r="D121" i="3" s="1"/>
  <c r="D122" i="3" s="1"/>
  <c r="D123" i="3" s="1"/>
  <c r="D55" i="3"/>
  <c r="D71" i="3"/>
  <c r="F38" i="3"/>
  <c r="F40" i="3" s="1"/>
  <c r="E38" i="3"/>
  <c r="E40" i="3" s="1"/>
  <c r="D38" i="3"/>
  <c r="D40" i="3" s="1"/>
  <c r="C38" i="3"/>
  <c r="C40" i="3" s="1"/>
  <c r="B38" i="3"/>
  <c r="B40" i="3" s="1"/>
  <c r="C21" i="3"/>
  <c r="B21" i="3"/>
  <c r="B136" i="3"/>
  <c r="B138" i="3" s="1"/>
  <c r="C153" i="3"/>
  <c r="B153" i="3"/>
  <c r="B155" i="3" s="1"/>
  <c r="E153" i="3"/>
  <c r="E155" i="3" s="1"/>
  <c r="D153" i="3"/>
  <c r="D155" i="3" s="1"/>
  <c r="C136" i="3"/>
  <c r="C138" i="3" s="1"/>
  <c r="E136" i="3"/>
  <c r="E138" i="3" s="1"/>
  <c r="D136" i="3"/>
  <c r="D138" i="3" s="1"/>
  <c r="H6" i="3"/>
  <c r="J6" i="3" s="1"/>
  <c r="H4" i="3"/>
  <c r="J4" i="3" s="1"/>
  <c r="S31" i="3"/>
  <c r="AI31" i="3"/>
  <c r="AQ31" i="3"/>
  <c r="AY31" i="3" s="1"/>
  <c r="AA31" i="3"/>
  <c r="AS29" i="3"/>
  <c r="U29" i="3"/>
  <c r="AC29" i="3"/>
  <c r="AK29" i="3"/>
  <c r="AO29" i="3"/>
  <c r="Q29" i="3"/>
  <c r="Y29" i="3"/>
  <c r="AG29" i="3"/>
  <c r="AQ27" i="3"/>
  <c r="S27" i="3"/>
  <c r="AA27" i="3"/>
  <c r="AI27" i="3"/>
  <c r="AO25" i="3"/>
  <c r="Q25" i="3"/>
  <c r="Y25" i="3"/>
  <c r="AG25" i="3"/>
  <c r="AQ30" i="3"/>
  <c r="S30" i="3"/>
  <c r="AA30" i="3"/>
  <c r="AI30" i="3"/>
  <c r="AH27" i="3"/>
  <c r="AP27" i="3"/>
  <c r="R27" i="3"/>
  <c r="Z27" i="3"/>
  <c r="AJ25" i="3"/>
  <c r="T25" i="3"/>
  <c r="AR25" i="3"/>
  <c r="AB25" i="3"/>
  <c r="AS31" i="3"/>
  <c r="BA31" i="3" s="1"/>
  <c r="U31" i="3"/>
  <c r="AC31" i="3"/>
  <c r="AK31" i="3"/>
  <c r="AO31" i="3"/>
  <c r="AW31" i="3" s="1"/>
  <c r="Q31" i="3"/>
  <c r="Y31" i="3"/>
  <c r="AG31" i="3"/>
  <c r="AP30" i="3"/>
  <c r="R30" i="3"/>
  <c r="AH30" i="3"/>
  <c r="Z30" i="3"/>
  <c r="AQ29" i="3"/>
  <c r="AA29" i="3"/>
  <c r="AI29" i="3"/>
  <c r="S29" i="3"/>
  <c r="AJ28" i="3"/>
  <c r="T28" i="3"/>
  <c r="AR28" i="3"/>
  <c r="AB28" i="3"/>
  <c r="AK27" i="3"/>
  <c r="AS27" i="3"/>
  <c r="U27" i="3"/>
  <c r="AC27" i="3"/>
  <c r="AG27" i="3"/>
  <c r="AO27" i="3"/>
  <c r="Q27" i="3"/>
  <c r="Y27" i="3"/>
  <c r="AP26" i="3"/>
  <c r="R26" i="3"/>
  <c r="AH26" i="3"/>
  <c r="Z26" i="3"/>
  <c r="R25" i="3"/>
  <c r="Z25" i="3"/>
  <c r="AH25" i="3"/>
  <c r="AP25" i="3"/>
  <c r="AR30" i="3"/>
  <c r="AJ30" i="3"/>
  <c r="AB30" i="3"/>
  <c r="T30" i="3"/>
  <c r="AP28" i="3"/>
  <c r="R28" i="3"/>
  <c r="Z28" i="3"/>
  <c r="AH28" i="3"/>
  <c r="AR26" i="3"/>
  <c r="T26" i="3"/>
  <c r="AB26" i="3"/>
  <c r="AJ26" i="3"/>
  <c r="AS25" i="3"/>
  <c r="U25" i="3"/>
  <c r="AC25" i="3"/>
  <c r="AK25" i="3"/>
  <c r="AP31" i="3"/>
  <c r="AX31" i="3" s="1"/>
  <c r="R31" i="3"/>
  <c r="Z31" i="3"/>
  <c r="AH31" i="3"/>
  <c r="AJ29" i="3"/>
  <c r="AR29" i="3"/>
  <c r="T29" i="3"/>
  <c r="AB29" i="3"/>
  <c r="AK28" i="3"/>
  <c r="AS28" i="3"/>
  <c r="U28" i="3"/>
  <c r="AC28" i="3"/>
  <c r="AG28" i="3"/>
  <c r="AO28" i="3"/>
  <c r="Q28" i="3"/>
  <c r="Y28" i="3"/>
  <c r="AI26" i="3"/>
  <c r="AQ26" i="3"/>
  <c r="S26" i="3"/>
  <c r="AA26" i="3"/>
  <c r="AI25" i="3"/>
  <c r="AQ25" i="3"/>
  <c r="S25" i="3"/>
  <c r="AA25" i="3"/>
  <c r="AB31" i="3"/>
  <c r="AR31" i="3"/>
  <c r="AZ31" i="3" s="1"/>
  <c r="T31" i="3"/>
  <c r="AJ31" i="3"/>
  <c r="AS30" i="3"/>
  <c r="U30" i="3"/>
  <c r="AC30" i="3"/>
  <c r="AK30" i="3"/>
  <c r="Q30" i="3"/>
  <c r="Y30" i="3"/>
  <c r="AO30" i="3"/>
  <c r="AG30" i="3"/>
  <c r="Z29" i="3"/>
  <c r="AP29" i="3"/>
  <c r="R29" i="3"/>
  <c r="AH29" i="3"/>
  <c r="S28" i="3"/>
  <c r="AA28" i="3"/>
  <c r="AI28" i="3"/>
  <c r="AQ28" i="3"/>
  <c r="AR27" i="3"/>
  <c r="AB27" i="3"/>
  <c r="T27" i="3"/>
  <c r="AJ27" i="3"/>
  <c r="AC26" i="3"/>
  <c r="AS26" i="3"/>
  <c r="AK26" i="3"/>
  <c r="U26" i="3"/>
  <c r="AG26" i="3"/>
  <c r="AO26" i="3"/>
  <c r="Y26" i="3"/>
  <c r="Q26" i="3"/>
  <c r="P25" i="3"/>
  <c r="X25" i="3"/>
  <c r="AF25" i="3"/>
  <c r="AF32" i="3" s="1"/>
  <c r="H25" i="3"/>
  <c r="J25" i="3" s="1"/>
  <c r="AN25" i="3" s="1"/>
  <c r="AV25" i="3" s="1"/>
  <c r="B32" i="3"/>
  <c r="D32" i="3"/>
  <c r="G32" i="3"/>
  <c r="C32" i="3"/>
  <c r="F32" i="3"/>
  <c r="E32" i="3"/>
  <c r="D57" i="3" l="1"/>
  <c r="D58" i="3" s="1"/>
  <c r="E73" i="3"/>
  <c r="E74" i="3" s="1"/>
  <c r="E89" i="3"/>
  <c r="E90" i="3" s="1"/>
  <c r="E57" i="3"/>
  <c r="E58" i="3" s="1"/>
  <c r="C73" i="3"/>
  <c r="C74" i="3" s="1"/>
  <c r="C89" i="3"/>
  <c r="C90" i="3" s="1"/>
  <c r="D89" i="3"/>
  <c r="D90" i="3" s="1"/>
  <c r="G76" i="3"/>
  <c r="G92" i="3"/>
  <c r="H70" i="3"/>
  <c r="I70" i="3" s="1"/>
  <c r="D92" i="3"/>
  <c r="D76" i="3"/>
  <c r="F76" i="3"/>
  <c r="F92" i="3"/>
  <c r="E92" i="3"/>
  <c r="E76" i="3"/>
  <c r="C92" i="3"/>
  <c r="C76" i="3"/>
  <c r="B89" i="3"/>
  <c r="B90" i="3" s="1"/>
  <c r="B57" i="3"/>
  <c r="B58" i="3" s="1"/>
  <c r="H72" i="3"/>
  <c r="B73" i="3"/>
  <c r="B74" i="3" s="1"/>
  <c r="C57" i="3"/>
  <c r="C58" i="3" s="1"/>
  <c r="B104" i="3"/>
  <c r="B105" i="3" s="1"/>
  <c r="B106" i="3" s="1"/>
  <c r="D73" i="3"/>
  <c r="H86" i="3"/>
  <c r="I86" i="3" s="1"/>
  <c r="C41" i="3"/>
  <c r="C42" i="3" s="1"/>
  <c r="F44" i="3"/>
  <c r="H88" i="3"/>
  <c r="B41" i="3"/>
  <c r="H40" i="3"/>
  <c r="D41" i="3"/>
  <c r="D42" i="3" s="1"/>
  <c r="C44" i="3"/>
  <c r="E41" i="3"/>
  <c r="E42" i="3" s="1"/>
  <c r="G44" i="3"/>
  <c r="H38" i="3"/>
  <c r="I38" i="3" s="1"/>
  <c r="D44" i="3"/>
  <c r="E44" i="3"/>
  <c r="C155" i="3"/>
  <c r="C156" i="3" s="1"/>
  <c r="C157" i="3" s="1"/>
  <c r="G60" i="3"/>
  <c r="F60" i="3"/>
  <c r="E60" i="3"/>
  <c r="D60" i="3"/>
  <c r="H154" i="3"/>
  <c r="D156" i="3"/>
  <c r="D157" i="3" s="1"/>
  <c r="E156" i="3"/>
  <c r="E157" i="3" s="1"/>
  <c r="B156" i="3"/>
  <c r="AX30" i="3"/>
  <c r="AX29" i="3" s="1"/>
  <c r="AX28" i="3" s="1"/>
  <c r="AX27" i="3" s="1"/>
  <c r="AX26" i="3" s="1"/>
  <c r="AX25" i="3" s="1"/>
  <c r="AY30" i="3"/>
  <c r="AY29" i="3" s="1"/>
  <c r="AY28" i="3" s="1"/>
  <c r="AY27" i="3" s="1"/>
  <c r="AY26" i="3" s="1"/>
  <c r="AY25" i="3" s="1"/>
  <c r="AZ30" i="3"/>
  <c r="AZ29" i="3" s="1"/>
  <c r="AZ28" i="3" s="1"/>
  <c r="AZ27" i="3" s="1"/>
  <c r="AZ26" i="3" s="1"/>
  <c r="AZ25" i="3" s="1"/>
  <c r="D139" i="3"/>
  <c r="D140" i="3" s="1"/>
  <c r="E139" i="3"/>
  <c r="E140" i="3" s="1"/>
  <c r="C139" i="3"/>
  <c r="C140" i="3" s="1"/>
  <c r="AW30" i="3"/>
  <c r="AW29" i="3" s="1"/>
  <c r="AW28" i="3" s="1"/>
  <c r="AW27" i="3" s="1"/>
  <c r="AW26" i="3" s="1"/>
  <c r="AW25" i="3" s="1"/>
  <c r="BA30" i="3"/>
  <c r="BA29" i="3" s="1"/>
  <c r="BA28" i="3" s="1"/>
  <c r="BA27" i="3" s="1"/>
  <c r="BA26" i="3" s="1"/>
  <c r="BA25" i="3" s="1"/>
  <c r="AM109" i="3"/>
  <c r="AM108" i="3" s="1"/>
  <c r="AM107" i="3" s="1"/>
  <c r="B139" i="3"/>
  <c r="B60" i="3"/>
  <c r="C60" i="3"/>
  <c r="H120" i="3"/>
  <c r="H137" i="3"/>
  <c r="H102" i="3"/>
  <c r="I102" i="3" s="1"/>
  <c r="H103" i="3"/>
  <c r="H56" i="3"/>
  <c r="H54" i="3"/>
  <c r="I54" i="3" s="1"/>
  <c r="AD26" i="3"/>
  <c r="AP32" i="3"/>
  <c r="D125" i="3" s="1"/>
  <c r="AN32" i="3"/>
  <c r="B125" i="3" s="1"/>
  <c r="AD27" i="3"/>
  <c r="V28" i="3"/>
  <c r="AJ32" i="3"/>
  <c r="AD29" i="3"/>
  <c r="Z32" i="3"/>
  <c r="D77" i="3" s="1"/>
  <c r="U32" i="3"/>
  <c r="V25" i="3"/>
  <c r="P32" i="3"/>
  <c r="V30" i="3"/>
  <c r="AD31" i="3"/>
  <c r="AA32" i="3"/>
  <c r="E77" i="3" s="1"/>
  <c r="Y32" i="3"/>
  <c r="C77" i="3" s="1"/>
  <c r="AC32" i="3"/>
  <c r="G77" i="3" s="1"/>
  <c r="AD28" i="3"/>
  <c r="V26" i="3"/>
  <c r="AL31" i="3"/>
  <c r="AI32" i="3"/>
  <c r="AG32" i="3"/>
  <c r="V31" i="3"/>
  <c r="AL26" i="3"/>
  <c r="AL28" i="3"/>
  <c r="T32" i="3"/>
  <c r="AH32" i="3"/>
  <c r="AL25" i="3"/>
  <c r="V27" i="3"/>
  <c r="AL27" i="3"/>
  <c r="AB32" i="3"/>
  <c r="F77" i="3" s="1"/>
  <c r="S32" i="3"/>
  <c r="AL29" i="3"/>
  <c r="AD30" i="3"/>
  <c r="Q32" i="3"/>
  <c r="AL30" i="3"/>
  <c r="AK32" i="3"/>
  <c r="H32" i="3"/>
  <c r="AD25" i="3"/>
  <c r="X32" i="3"/>
  <c r="B77" i="3" s="1"/>
  <c r="AT31" i="3"/>
  <c r="AT26" i="3"/>
  <c r="AR32" i="3"/>
  <c r="AT27" i="3"/>
  <c r="AT30" i="3"/>
  <c r="AQ32" i="3"/>
  <c r="E125" i="3" s="1"/>
  <c r="AS32" i="3"/>
  <c r="AT25" i="3"/>
  <c r="AT29" i="3"/>
  <c r="AO32" i="3"/>
  <c r="C159" i="3" s="1"/>
  <c r="D78" i="3" l="1"/>
  <c r="F78" i="3"/>
  <c r="G78" i="3"/>
  <c r="C78" i="3"/>
  <c r="H77" i="3"/>
  <c r="B78" i="3"/>
  <c r="E78" i="3"/>
  <c r="B108" i="3"/>
  <c r="H76" i="3"/>
  <c r="H104" i="3"/>
  <c r="D74" i="3"/>
  <c r="H92" i="3"/>
  <c r="D45" i="3"/>
  <c r="D46" i="3" s="1"/>
  <c r="D93" i="3"/>
  <c r="D94" i="3" s="1"/>
  <c r="F45" i="3"/>
  <c r="F46" i="3" s="1"/>
  <c r="F93" i="3"/>
  <c r="F94" i="3" s="1"/>
  <c r="G45" i="3"/>
  <c r="G46" i="3" s="1"/>
  <c r="G93" i="3"/>
  <c r="G94" i="3" s="1"/>
  <c r="B45" i="3"/>
  <c r="B46" i="3" s="1"/>
  <c r="B93" i="3"/>
  <c r="B94" i="3" s="1"/>
  <c r="C45" i="3"/>
  <c r="C46" i="3" s="1"/>
  <c r="C93" i="3"/>
  <c r="C94" i="3" s="1"/>
  <c r="E45" i="3"/>
  <c r="E46" i="3" s="1"/>
  <c r="E93" i="3"/>
  <c r="E94" i="3" s="1"/>
  <c r="B42" i="3"/>
  <c r="H44" i="3"/>
  <c r="G61" i="3"/>
  <c r="G62" i="3" s="1"/>
  <c r="F61" i="3"/>
  <c r="F62" i="3" s="1"/>
  <c r="E61" i="3"/>
  <c r="E62" i="3" s="1"/>
  <c r="E159" i="3"/>
  <c r="AQ157" i="3" s="1"/>
  <c r="D61" i="3"/>
  <c r="D62" i="3" s="1"/>
  <c r="C61" i="3"/>
  <c r="C62" i="3" s="1"/>
  <c r="B61" i="3"/>
  <c r="B62" i="3" s="1"/>
  <c r="C125" i="3"/>
  <c r="D159" i="3"/>
  <c r="AP154" i="3" s="1"/>
  <c r="AO156" i="3"/>
  <c r="AO159" i="3"/>
  <c r="AO158" i="3"/>
  <c r="AO157" i="3"/>
  <c r="B159" i="3"/>
  <c r="AO154" i="3"/>
  <c r="AO160" i="3"/>
  <c r="AO155" i="3"/>
  <c r="B157" i="3"/>
  <c r="H106" i="3"/>
  <c r="AP120" i="3"/>
  <c r="AP126" i="3"/>
  <c r="AP123" i="3"/>
  <c r="AP121" i="3"/>
  <c r="AP124" i="3"/>
  <c r="AP125" i="3"/>
  <c r="AP122" i="3"/>
  <c r="J32" i="3"/>
  <c r="C142" i="3"/>
  <c r="B142" i="3"/>
  <c r="E142" i="3"/>
  <c r="D142" i="3"/>
  <c r="AD32" i="3"/>
  <c r="AL32" i="3"/>
  <c r="V29" i="3"/>
  <c r="R32" i="3"/>
  <c r="AT28" i="3"/>
  <c r="AT32" i="3" s="1"/>
  <c r="AN105" i="3" l="1"/>
  <c r="I92" i="3"/>
  <c r="I76" i="3"/>
  <c r="I77" i="3" s="1"/>
  <c r="H78" i="3"/>
  <c r="H93" i="3"/>
  <c r="H94" i="3"/>
  <c r="H45" i="3"/>
  <c r="H46" i="3"/>
  <c r="I44" i="3"/>
  <c r="AQ158" i="3"/>
  <c r="AQ160" i="3"/>
  <c r="AQ156" i="3"/>
  <c r="AQ159" i="3"/>
  <c r="AQ155" i="3"/>
  <c r="AQ154" i="3"/>
  <c r="AP158" i="3"/>
  <c r="AP157" i="3"/>
  <c r="AP160" i="3"/>
  <c r="AP155" i="3"/>
  <c r="AN104" i="3"/>
  <c r="AN109" i="3"/>
  <c r="AO109" i="3" s="1"/>
  <c r="AN106" i="3"/>
  <c r="AO106" i="3" s="1"/>
  <c r="AN107" i="3"/>
  <c r="AP159" i="3"/>
  <c r="AN103" i="3"/>
  <c r="AP156" i="3"/>
  <c r="AN108" i="3"/>
  <c r="AO108" i="3" s="1"/>
  <c r="AO161" i="3"/>
  <c r="C160" i="3" s="1"/>
  <c r="C161" i="3" s="1"/>
  <c r="C162" i="3" s="1"/>
  <c r="AN159" i="3"/>
  <c r="AN158" i="3"/>
  <c r="AN157" i="3"/>
  <c r="AN155" i="3"/>
  <c r="AN156" i="3"/>
  <c r="AN154" i="3"/>
  <c r="AN160" i="3"/>
  <c r="AQ142" i="3"/>
  <c r="AQ139" i="3"/>
  <c r="AQ137" i="3"/>
  <c r="AQ143" i="3"/>
  <c r="AQ141" i="3"/>
  <c r="AQ140" i="3"/>
  <c r="AQ138" i="3"/>
  <c r="AO121" i="3"/>
  <c r="AO122" i="3"/>
  <c r="AO123" i="3"/>
  <c r="AO126" i="3"/>
  <c r="AO120" i="3"/>
  <c r="AO125" i="3"/>
  <c r="AQ123" i="3"/>
  <c r="AQ124" i="3"/>
  <c r="AQ125" i="3"/>
  <c r="AQ120" i="3"/>
  <c r="AQ126" i="3"/>
  <c r="AQ122" i="3"/>
  <c r="AQ121" i="3"/>
  <c r="AP140" i="3"/>
  <c r="AP138" i="3"/>
  <c r="AP142" i="3"/>
  <c r="AP139" i="3"/>
  <c r="AP137" i="3"/>
  <c r="AP143" i="3"/>
  <c r="AP141" i="3"/>
  <c r="AO143" i="3"/>
  <c r="AO140" i="3"/>
  <c r="AO138" i="3"/>
  <c r="AO142" i="3"/>
  <c r="AO139" i="3"/>
  <c r="AO137" i="3"/>
  <c r="AP127" i="3"/>
  <c r="D126" i="3" s="1"/>
  <c r="D127" i="3" s="1"/>
  <c r="D128" i="3" s="1"/>
  <c r="AN141" i="3"/>
  <c r="AN139" i="3"/>
  <c r="AN137" i="3"/>
  <c r="AN143" i="3"/>
  <c r="AN140" i="3"/>
  <c r="AN138" i="3"/>
  <c r="AN142" i="3"/>
  <c r="AN124" i="3"/>
  <c r="AN123" i="3"/>
  <c r="AN120" i="3"/>
  <c r="AN126" i="3"/>
  <c r="AN122" i="3"/>
  <c r="AN125" i="3"/>
  <c r="AN121" i="3"/>
  <c r="H105" i="3"/>
  <c r="I103" i="3" s="1"/>
  <c r="B140" i="3"/>
  <c r="H108" i="3"/>
  <c r="H60" i="3"/>
  <c r="I60" i="3" s="1"/>
  <c r="V32" i="3"/>
  <c r="H62" i="3"/>
  <c r="E21" i="3"/>
  <c r="D21" i="3"/>
  <c r="I45" i="3" l="1"/>
  <c r="I93" i="3"/>
  <c r="M94" i="3" s="1"/>
  <c r="AQ161" i="3"/>
  <c r="E160" i="3" s="1"/>
  <c r="E161" i="3" s="1"/>
  <c r="E162" i="3" s="1"/>
  <c r="AP161" i="3"/>
  <c r="D160" i="3" s="1"/>
  <c r="D161" i="3" s="1"/>
  <c r="D162" i="3" s="1"/>
  <c r="M78" i="3"/>
  <c r="AN161" i="3"/>
  <c r="B160" i="3" s="1"/>
  <c r="B161" i="3" s="1"/>
  <c r="B162" i="3" s="1"/>
  <c r="AN144" i="3"/>
  <c r="B143" i="3" s="1"/>
  <c r="B144" i="3" s="1"/>
  <c r="B145" i="3" s="1"/>
  <c r="AN127" i="3"/>
  <c r="B126" i="3" s="1"/>
  <c r="B127" i="3" s="1"/>
  <c r="B128" i="3" s="1"/>
  <c r="AP144" i="3"/>
  <c r="D143" i="3" s="1"/>
  <c r="D144" i="3" s="1"/>
  <c r="D145" i="3" s="1"/>
  <c r="AQ144" i="3"/>
  <c r="E143" i="3" s="1"/>
  <c r="E144" i="3" s="1"/>
  <c r="E145" i="3" s="1"/>
  <c r="AQ127" i="3"/>
  <c r="E126" i="3" s="1"/>
  <c r="E127" i="3" s="1"/>
  <c r="E128" i="3" s="1"/>
  <c r="AO105" i="3"/>
  <c r="H61" i="3"/>
  <c r="I61" i="3" s="1"/>
  <c r="C25" i="9"/>
  <c r="C24" i="9"/>
  <c r="C23" i="9"/>
  <c r="C22" i="9"/>
  <c r="C21" i="9"/>
  <c r="AO103" i="3" l="1"/>
  <c r="P9" i="1"/>
  <c r="C19" i="9"/>
  <c r="C18" i="9"/>
  <c r="C14" i="9"/>
  <c r="C12" i="9"/>
  <c r="C13" i="9"/>
  <c r="C16" i="9"/>
  <c r="C15" i="9"/>
  <c r="C26" i="9"/>
  <c r="C29" i="9"/>
  <c r="C27" i="9"/>
  <c r="C28" i="9"/>
  <c r="C20" i="9"/>
  <c r="C17" i="9"/>
  <c r="F1" i="5"/>
  <c r="J24" i="5"/>
  <c r="F24" i="5"/>
  <c r="E24" i="5"/>
  <c r="J23" i="5"/>
  <c r="F23" i="5"/>
  <c r="E23" i="5"/>
  <c r="Q20" i="1"/>
  <c r="R20" i="1"/>
  <c r="S20" i="1"/>
  <c r="T20" i="1"/>
  <c r="U20" i="1"/>
  <c r="G1" i="5" l="1"/>
  <c r="H1" i="5" s="1"/>
  <c r="I1" i="5" s="1"/>
  <c r="H2" i="3"/>
  <c r="J2" i="3" s="1"/>
  <c r="J21" i="3" s="1"/>
  <c r="V20" i="1"/>
  <c r="P20" i="1" s="1"/>
  <c r="L24" i="1" l="1"/>
  <c r="H24" i="1"/>
  <c r="H68" i="16"/>
  <c r="H74" i="16" s="1"/>
  <c r="G68" i="16"/>
  <c r="G74" i="16" s="1"/>
  <c r="E68" i="16"/>
  <c r="E74" i="16" s="1"/>
  <c r="I68" i="16"/>
  <c r="I74" i="16" s="1"/>
  <c r="F68" i="16"/>
  <c r="F74" i="16" s="1"/>
  <c r="J68" i="16"/>
  <c r="J74" i="16" s="1"/>
  <c r="K68" i="16"/>
  <c r="K74" i="16" s="1"/>
  <c r="K42" i="16"/>
  <c r="K43" i="16" s="1"/>
  <c r="I112" i="3"/>
  <c r="E42" i="16" l="1"/>
  <c r="E43" i="16" s="1"/>
  <c r="I42" i="16"/>
  <c r="I43" i="16" s="1"/>
  <c r="G42" i="16"/>
  <c r="G43" i="16" s="1"/>
  <c r="H42" i="16"/>
  <c r="H43" i="16" s="1"/>
  <c r="J42" i="16"/>
  <c r="J43" i="16" s="1"/>
  <c r="F42" i="16"/>
  <c r="F43" i="16" s="1"/>
  <c r="AO141" i="3"/>
  <c r="AO144" i="3" s="1"/>
  <c r="C143" i="3" s="1"/>
  <c r="AO124" i="3"/>
  <c r="AO127" i="3" s="1"/>
  <c r="C126" i="3" s="1"/>
  <c r="C127" i="3" s="1"/>
  <c r="C128" i="3" s="1"/>
  <c r="K67" i="16" l="1"/>
  <c r="K76" i="16"/>
  <c r="K79" i="16" s="1"/>
  <c r="K80" i="16" s="1"/>
  <c r="J67" i="16"/>
  <c r="J76" i="16"/>
  <c r="J79" i="16" s="1"/>
  <c r="J80" i="16" s="1"/>
  <c r="H76" i="16"/>
  <c r="H79" i="16" s="1"/>
  <c r="H80" i="16" s="1"/>
  <c r="H67" i="16"/>
  <c r="I67" i="16"/>
  <c r="I76" i="16"/>
  <c r="I79" i="16" s="1"/>
  <c r="I80" i="16" s="1"/>
  <c r="E67" i="16"/>
  <c r="E76" i="16"/>
  <c r="E79" i="16" s="1"/>
  <c r="E80" i="16" s="1"/>
  <c r="F76" i="16"/>
  <c r="F79" i="16" s="1"/>
  <c r="F80" i="16" s="1"/>
  <c r="F67" i="16"/>
  <c r="G76" i="16"/>
  <c r="G79" i="16" s="1"/>
  <c r="G80" i="16" s="1"/>
  <c r="G67" i="16"/>
  <c r="K44" i="16"/>
  <c r="J44" i="16"/>
  <c r="H44" i="16"/>
  <c r="I44" i="16"/>
  <c r="E44" i="16"/>
  <c r="F44" i="16"/>
  <c r="G44" i="16"/>
  <c r="C144" i="3"/>
  <c r="I32" i="1" l="1"/>
  <c r="M32" i="1" s="1"/>
  <c r="F32" i="1"/>
  <c r="H13" i="16"/>
  <c r="J70" i="16"/>
  <c r="J71" i="16" s="1"/>
  <c r="J73" i="16"/>
  <c r="G70" i="16"/>
  <c r="G71" i="16" s="1"/>
  <c r="G73" i="16"/>
  <c r="H70" i="16"/>
  <c r="H71" i="16" s="1"/>
  <c r="H73" i="16"/>
  <c r="K70" i="16"/>
  <c r="K71" i="16" s="1"/>
  <c r="K73" i="16"/>
  <c r="F70" i="16"/>
  <c r="F71" i="16" s="1"/>
  <c r="F73" i="16"/>
  <c r="E70" i="16"/>
  <c r="E71" i="16" s="1"/>
  <c r="E73" i="16"/>
  <c r="I70" i="16"/>
  <c r="I71" i="16" s="1"/>
  <c r="I73" i="16"/>
  <c r="J13" i="16"/>
  <c r="C145" i="3"/>
  <c r="M34" i="1" l="1"/>
  <c r="F34" i="1"/>
  <c r="I34" i="1" s="1"/>
  <c r="H15" i="16"/>
  <c r="J15" i="16"/>
  <c r="E82" i="16"/>
  <c r="E87" i="16"/>
  <c r="F87" i="16"/>
  <c r="F82" i="16"/>
  <c r="K87" i="16"/>
  <c r="K82" i="16"/>
  <c r="H82" i="16"/>
  <c r="H87" i="16"/>
  <c r="G82" i="16"/>
  <c r="G87" i="16"/>
  <c r="I87" i="16"/>
  <c r="I82" i="16"/>
  <c r="J87" i="16"/>
  <c r="J82" i="16"/>
  <c r="G21" i="3" l="1"/>
  <c r="K34" i="1"/>
  <c r="F21" i="3" s="1"/>
  <c r="H21" i="3" l="1"/>
  <c r="G136" i="3"/>
  <c r="G119" i="3"/>
  <c r="G39" i="3"/>
  <c r="G41" i="3" s="1"/>
  <c r="G42" i="3" s="1"/>
  <c r="G55" i="3"/>
  <c r="G57" i="3" s="1"/>
  <c r="G58" i="3" s="1"/>
  <c r="G153" i="3"/>
  <c r="G71" i="3"/>
  <c r="G73" i="3" s="1"/>
  <c r="G74" i="3" s="1"/>
  <c r="G87" i="3"/>
  <c r="G89" i="3" s="1"/>
  <c r="G90" i="3" s="1"/>
  <c r="F136" i="3"/>
  <c r="F87" i="3"/>
  <c r="F39" i="3"/>
  <c r="F55" i="3"/>
  <c r="F71" i="3"/>
  <c r="F119" i="3"/>
  <c r="F153" i="3"/>
  <c r="E51" i="16"/>
  <c r="AO107" i="3"/>
  <c r="AO104" i="3"/>
  <c r="AN110" i="3"/>
  <c r="B109" i="3" s="1"/>
  <c r="H46" i="16" l="1"/>
  <c r="K46" i="16"/>
  <c r="F46" i="16"/>
  <c r="H136" i="3"/>
  <c r="I136" i="3" s="1"/>
  <c r="H119" i="3"/>
  <c r="I119" i="3" s="1"/>
  <c r="H153" i="3"/>
  <c r="I153" i="3" s="1"/>
  <c r="E46" i="16"/>
  <c r="I79" i="3"/>
  <c r="I129" i="3"/>
  <c r="J46" i="16"/>
  <c r="G46" i="16"/>
  <c r="I46" i="16"/>
  <c r="I146" i="3"/>
  <c r="I47" i="3"/>
  <c r="I63" i="3"/>
  <c r="I95" i="3"/>
  <c r="I163" i="3"/>
  <c r="I106" i="3"/>
  <c r="F89" i="3"/>
  <c r="H87" i="3"/>
  <c r="F41" i="3"/>
  <c r="H39" i="3"/>
  <c r="F57" i="3"/>
  <c r="H55" i="3"/>
  <c r="F73" i="3"/>
  <c r="H71" i="3"/>
  <c r="G142" i="3"/>
  <c r="G138" i="3"/>
  <c r="G139" i="3" s="1"/>
  <c r="G140" i="3" s="1"/>
  <c r="G121" i="3"/>
  <c r="G122" i="3" s="1"/>
  <c r="G123" i="3" s="1"/>
  <c r="G125" i="3"/>
  <c r="G159" i="3"/>
  <c r="G155" i="3"/>
  <c r="G156" i="3" s="1"/>
  <c r="G157" i="3" s="1"/>
  <c r="F142" i="3"/>
  <c r="F138" i="3"/>
  <c r="F125" i="3"/>
  <c r="F121" i="3"/>
  <c r="F159" i="3"/>
  <c r="F155" i="3"/>
  <c r="H109" i="3"/>
  <c r="B110" i="3"/>
  <c r="H125" i="3" l="1"/>
  <c r="H159" i="3"/>
  <c r="H142" i="3"/>
  <c r="F139" i="3"/>
  <c r="H138" i="3"/>
  <c r="F122" i="3"/>
  <c r="H121" i="3"/>
  <c r="F156" i="3"/>
  <c r="H155" i="3"/>
  <c r="F90" i="3"/>
  <c r="H90" i="3" s="1"/>
  <c r="H89" i="3"/>
  <c r="I87" i="3" s="1"/>
  <c r="I90" i="3" s="1"/>
  <c r="F42" i="3"/>
  <c r="H42" i="3" s="1"/>
  <c r="H41" i="3"/>
  <c r="I39" i="3" s="1"/>
  <c r="I42" i="3" s="1"/>
  <c r="F58" i="3"/>
  <c r="H58" i="3" s="1"/>
  <c r="H57" i="3"/>
  <c r="I55" i="3" s="1"/>
  <c r="I58" i="3" s="1"/>
  <c r="F74" i="3"/>
  <c r="H74" i="3" s="1"/>
  <c r="H73" i="3"/>
  <c r="I71" i="3" s="1"/>
  <c r="I74" i="3" s="1"/>
  <c r="AS139" i="3"/>
  <c r="AS140" i="3"/>
  <c r="AS137" i="3"/>
  <c r="AS142" i="3"/>
  <c r="AS141" i="3"/>
  <c r="AS138" i="3"/>
  <c r="AS143" i="3"/>
  <c r="AS121" i="3"/>
  <c r="AS122" i="3"/>
  <c r="AS123" i="3"/>
  <c r="AS124" i="3"/>
  <c r="AS120" i="3"/>
  <c r="AS125" i="3"/>
  <c r="AS126" i="3"/>
  <c r="AS160" i="3"/>
  <c r="AS156" i="3"/>
  <c r="AS155" i="3"/>
  <c r="AS159" i="3"/>
  <c r="AS158" i="3"/>
  <c r="AS157" i="3"/>
  <c r="AS154" i="3"/>
  <c r="AR138" i="3"/>
  <c r="AR142" i="3"/>
  <c r="AR140" i="3"/>
  <c r="AR141" i="3"/>
  <c r="AR143" i="3"/>
  <c r="AR137" i="3"/>
  <c r="AR139" i="3"/>
  <c r="AR124" i="3"/>
  <c r="AR121" i="3"/>
  <c r="AR120" i="3"/>
  <c r="AR122" i="3"/>
  <c r="AR126" i="3"/>
  <c r="AR123" i="3"/>
  <c r="AR125" i="3"/>
  <c r="AR157" i="3"/>
  <c r="AR159" i="3"/>
  <c r="AR154" i="3"/>
  <c r="AR156" i="3"/>
  <c r="AR160" i="3"/>
  <c r="AR155" i="3"/>
  <c r="AR158" i="3"/>
  <c r="B111" i="3"/>
  <c r="H111" i="3" s="1"/>
  <c r="H110" i="3"/>
  <c r="I108" i="3" s="1"/>
  <c r="AS161" i="3" l="1"/>
  <c r="G160" i="3" s="1"/>
  <c r="G161" i="3" s="1"/>
  <c r="G162" i="3" s="1"/>
  <c r="AS144" i="3"/>
  <c r="G143" i="3" s="1"/>
  <c r="G144" i="3" s="1"/>
  <c r="G145" i="3" s="1"/>
  <c r="AS127" i="3"/>
  <c r="G126" i="3" s="1"/>
  <c r="G127" i="3" s="1"/>
  <c r="G128" i="3" s="1"/>
  <c r="AR144" i="3"/>
  <c r="F143" i="3" s="1"/>
  <c r="AR127" i="3"/>
  <c r="F126" i="3" s="1"/>
  <c r="AR161" i="3"/>
  <c r="F160" i="3" s="1"/>
  <c r="H139" i="3"/>
  <c r="I137" i="3" s="1"/>
  <c r="F140" i="3"/>
  <c r="H122" i="3"/>
  <c r="I120" i="3" s="1"/>
  <c r="F123" i="3"/>
  <c r="H156" i="3"/>
  <c r="I154" i="3" s="1"/>
  <c r="F157" i="3"/>
  <c r="I96" i="3"/>
  <c r="M90" i="3"/>
  <c r="I48" i="3"/>
  <c r="M42" i="3"/>
  <c r="M58" i="3"/>
  <c r="I64" i="3"/>
  <c r="I80" i="3"/>
  <c r="M74" i="3"/>
  <c r="I111" i="3"/>
  <c r="I113" i="3" s="1"/>
  <c r="A134" i="3"/>
  <c r="H143" i="3" l="1"/>
  <c r="F144" i="3"/>
  <c r="H126" i="3"/>
  <c r="F127" i="3"/>
  <c r="H160" i="3"/>
  <c r="F161" i="3"/>
  <c r="H140" i="3"/>
  <c r="I140" i="3" s="1"/>
  <c r="H123" i="3"/>
  <c r="I123" i="3" s="1"/>
  <c r="H157" i="3"/>
  <c r="I157" i="3" s="1"/>
  <c r="I97" i="3"/>
  <c r="C5" i="9" s="1"/>
  <c r="J96" i="3"/>
  <c r="I49" i="3"/>
  <c r="C2" i="9" s="1"/>
  <c r="E47" i="16" s="1"/>
  <c r="E48" i="16" s="1"/>
  <c r="J48" i="3"/>
  <c r="J64" i="3"/>
  <c r="I65" i="3"/>
  <c r="C3" i="9" s="1"/>
  <c r="F47" i="16" s="1"/>
  <c r="F48" i="16" s="1"/>
  <c r="J80" i="3"/>
  <c r="I81" i="3"/>
  <c r="C4" i="9" s="1"/>
  <c r="G47" i="16" s="1"/>
  <c r="G48" i="16" s="1"/>
  <c r="I114" i="3"/>
  <c r="M113" i="3"/>
  <c r="G51" i="16"/>
  <c r="F51" i="16"/>
  <c r="H144" i="3" l="1"/>
  <c r="I142" i="3" s="1"/>
  <c r="F145" i="3"/>
  <c r="H145" i="3" s="1"/>
  <c r="I145" i="3" s="1"/>
  <c r="I147" i="3" s="1"/>
  <c r="H127" i="3"/>
  <c r="I125" i="3" s="1"/>
  <c r="F128" i="3"/>
  <c r="H128" i="3" s="1"/>
  <c r="I128" i="3" s="1"/>
  <c r="I130" i="3" s="1"/>
  <c r="H161" i="3"/>
  <c r="I159" i="3" s="1"/>
  <c r="F162" i="3"/>
  <c r="H162" i="3" s="1"/>
  <c r="I162" i="3" s="1"/>
  <c r="I164" i="3" s="1"/>
  <c r="F50" i="16"/>
  <c r="F85" i="16" s="1"/>
  <c r="F88" i="16"/>
  <c r="E50" i="16"/>
  <c r="E85" i="16" s="1"/>
  <c r="E88" i="16"/>
  <c r="G88" i="16"/>
  <c r="G50" i="16"/>
  <c r="G85" i="16" s="1"/>
  <c r="I148" i="3" l="1"/>
  <c r="C7" i="9" s="1"/>
  <c r="M147" i="3"/>
  <c r="I165" i="3"/>
  <c r="C8" i="9" s="1"/>
  <c r="K47" i="16" s="1"/>
  <c r="K48" i="16" s="1"/>
  <c r="M164" i="3"/>
  <c r="M130" i="3"/>
  <c r="I131" i="3"/>
  <c r="C6" i="9" s="1" a="1"/>
  <c r="C6" i="9" s="1"/>
  <c r="I51" i="16"/>
  <c r="J47" i="16" l="1"/>
  <c r="J48" i="16" s="1"/>
  <c r="J51" i="16" s="1"/>
  <c r="I47" i="16"/>
  <c r="I48" i="16" s="1"/>
  <c r="H47" i="16"/>
  <c r="H48" i="16" s="1"/>
  <c r="K88" i="16"/>
  <c r="K50" i="16"/>
  <c r="K51" i="16"/>
  <c r="J50" i="16" l="1"/>
  <c r="J85" i="16" s="1"/>
  <c r="J88" i="16"/>
  <c r="I88" i="16"/>
  <c r="I50" i="16"/>
  <c r="I85" i="16" s="1"/>
  <c r="H50" i="16"/>
  <c r="H88" i="16"/>
  <c r="H51" i="16"/>
  <c r="D51" i="16" s="1"/>
  <c r="K85" i="16"/>
  <c r="H85" i="16" l="1"/>
  <c r="H14" i="16" l="1"/>
  <c r="J14"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<sst xmlns="http://schemas.openxmlformats.org/spreadsheetml/2006/main" count="550" uniqueCount="203">
  <si>
    <t>Yes</t>
  </si>
  <si>
    <t>Printed:</t>
  </si>
  <si>
    <t>Use the drop-down menu to select your employer (and bargaining unit).</t>
  </si>
  <si>
    <t>All Others</t>
  </si>
  <si>
    <t>Use the drop down menu to indicate your employment status.</t>
  </si>
  <si>
    <t>Employee</t>
  </si>
  <si>
    <t>Use the drop-down menu to select the plan under which you are currently covered through BSSP.</t>
  </si>
  <si>
    <t>80% M $40</t>
  </si>
  <si>
    <t>Child 1</t>
  </si>
  <si>
    <t>Child 2</t>
  </si>
  <si>
    <t>Child 3</t>
  </si>
  <si>
    <t>Child 4</t>
  </si>
  <si>
    <t>Who else is covered under your medical plan?</t>
  </si>
  <si>
    <t>Estimated Network Cost</t>
  </si>
  <si>
    <t>a</t>
  </si>
  <si>
    <t>Preventive wellness or annual exam</t>
  </si>
  <si>
    <t>b</t>
  </si>
  <si>
    <t>Health and Wellness Center visits not listed above</t>
  </si>
  <si>
    <t>c</t>
  </si>
  <si>
    <t>MDLive (telemedicine)</t>
  </si>
  <si>
    <t>d</t>
  </si>
  <si>
    <t>Primary care office visits not listed above</t>
  </si>
  <si>
    <t>e</t>
  </si>
  <si>
    <t>Other office visits (specialists, urgent care, mental health) not listed above</t>
  </si>
  <si>
    <t>f</t>
  </si>
  <si>
    <t>Physical, occupational, speech, chiropractic or acupuncture therapy visits</t>
  </si>
  <si>
    <t>g</t>
  </si>
  <si>
    <t>Inpatient hospital admissions (not days)</t>
  </si>
  <si>
    <t>h</t>
  </si>
  <si>
    <t>Emergency room visits (not admitted)</t>
  </si>
  <si>
    <t>i</t>
  </si>
  <si>
    <t>n/a</t>
  </si>
  <si>
    <t>j</t>
  </si>
  <si>
    <t>Surgeries contracted with Carrum Health (hip/knee replacement or spinal fusion -- at Carrum facility, only)</t>
  </si>
  <si>
    <t>Generic filled at Costco (up to 30 day supply for an acute/episodic illness)</t>
  </si>
  <si>
    <t>Generic filled at a retail pharmacy other than Walgreen's (up to 30 day supply for an acute/episodic illness)</t>
  </si>
  <si>
    <t>Brand filled at a retail pharmacy other than Walgreen's (up to 30-day supply for an acute/episodic illness)</t>
  </si>
  <si>
    <t>Generic maintenance filled at Costco (mail order or retail)</t>
  </si>
  <si>
    <t>Generic maintenance filled at a retail pharmacy other than Walgreen's</t>
  </si>
  <si>
    <t>Brand maintenance filled via Costco (mail order or retail)</t>
  </si>
  <si>
    <t>Brand maintenance filled at a retail pharmacy other than Walgreen's</t>
  </si>
  <si>
    <t>Care Scenario:</t>
  </si>
  <si>
    <t>Plan</t>
  </si>
  <si>
    <t>Net (Cost) Savings</t>
  </si>
  <si>
    <t>Preventive Care, only: wellness exams, vaccinations, screenings</t>
  </si>
  <si>
    <t>Care Scenario: estimated based on your Care Scenario</t>
  </si>
  <si>
    <t>Maximum Use: individual and/or family out-of-pocket maximums are reached</t>
  </si>
  <si>
    <t xml:space="preserve">This chart shows your Net (Cost) Savings for each plan under the same three cases.  </t>
  </si>
  <si>
    <t>12-month employer contribution</t>
  </si>
  <si>
    <t>12-month premium</t>
  </si>
  <si>
    <t>Paycheck Deduction: Cost of Coverage</t>
  </si>
  <si>
    <t>Estimated medical + RX claims</t>
  </si>
  <si>
    <t>Estimated claim payments made by BSSP/SISC</t>
  </si>
  <si>
    <t>FSA, HSA or Checkbook Expense: 
 Estimated Out of Pocket for Med+RX</t>
  </si>
  <si>
    <t>Net Cost</t>
  </si>
  <si>
    <t>Premium</t>
  </si>
  <si>
    <t>WORST CASE Est'd OOP Med + RX</t>
  </si>
  <si>
    <t>Contribution</t>
  </si>
  <si>
    <t>Max OOP</t>
  </si>
  <si>
    <t>Payroll</t>
  </si>
  <si>
    <t>OOP</t>
  </si>
  <si>
    <t>Best Case OOP Med + RX</t>
  </si>
  <si>
    <t>Preventive Care</t>
  </si>
  <si>
    <t>Expected Case:  As Input</t>
  </si>
  <si>
    <t>Spouse/ RDP</t>
  </si>
  <si>
    <t>Total family covered</t>
  </si>
  <si>
    <t>Unit Cost</t>
  </si>
  <si>
    <t>Total Cost</t>
  </si>
  <si>
    <t>first 3 primary care are $0 on non-HAS plans</t>
  </si>
  <si>
    <t>Total Medical Claims</t>
  </si>
  <si>
    <t>Copays $7 $0 $25</t>
  </si>
  <si>
    <t>Copays $10 $200 $35</t>
  </si>
  <si>
    <t>Copays HSA</t>
  </si>
  <si>
    <t>Cost</t>
  </si>
  <si>
    <t>Accumulation</t>
  </si>
  <si>
    <t>Unit cost</t>
  </si>
  <si>
    <t>Copays 7-0-25</t>
  </si>
  <si>
    <t>Copays '10-200-35</t>
  </si>
  <si>
    <t xml:space="preserve">Copays HSA </t>
  </si>
  <si>
    <t>Total</t>
  </si>
  <si>
    <t>Total Claims</t>
  </si>
  <si>
    <t>Sum of Individuals</t>
  </si>
  <si>
    <t>Family Limits</t>
  </si>
  <si>
    <t>E</t>
  </si>
  <si>
    <t>Total estimated OOP costs - MEDICAL</t>
  </si>
  <si>
    <t>Deductible</t>
  </si>
  <si>
    <t>Co-payments</t>
  </si>
  <si>
    <t>Co-insurance</t>
  </si>
  <si>
    <t>Individual OOP</t>
  </si>
  <si>
    <t>Individual Max OOP</t>
  </si>
  <si>
    <t>Total estimated OOP costs - RX</t>
  </si>
  <si>
    <t>Total costs</t>
  </si>
  <si>
    <t>Member payments</t>
  </si>
  <si>
    <t>Plan payments</t>
  </si>
  <si>
    <t>F</t>
  </si>
  <si>
    <t>G</t>
  </si>
  <si>
    <t>H</t>
  </si>
  <si>
    <t>single</t>
  </si>
  <si>
    <t>I</t>
  </si>
  <si>
    <t>HSA assumes all services with copay apply to deductible, only.</t>
  </si>
  <si>
    <t>Family</t>
  </si>
  <si>
    <t>these cells have individual deductible at 3400; edit annually as needed.</t>
  </si>
  <si>
    <t>J</t>
  </si>
  <si>
    <t>K</t>
  </si>
  <si>
    <t>Menu</t>
  </si>
  <si>
    <t>Rate structure</t>
  </si>
  <si>
    <t>Plan 1</t>
  </si>
  <si>
    <t>Plan 2</t>
  </si>
  <si>
    <t>Plan 3</t>
  </si>
  <si>
    <t>Plan 4</t>
  </si>
  <si>
    <t>Plan 5</t>
  </si>
  <si>
    <t>Plan 6</t>
  </si>
  <si>
    <t>Plan 7</t>
  </si>
  <si>
    <t>ACR2</t>
  </si>
  <si>
    <t>80% G $30</t>
  </si>
  <si>
    <t>80% J $30</t>
  </si>
  <si>
    <t>80% L $30</t>
  </si>
  <si>
    <t>HSA $1700</t>
  </si>
  <si>
    <t>HSA $5000</t>
  </si>
  <si>
    <t>MEC $9000</t>
  </si>
  <si>
    <t>BCOE CSEA</t>
  </si>
  <si>
    <t>BACR3</t>
  </si>
  <si>
    <t>Biggs CSEA</t>
  </si>
  <si>
    <t>A3R2</t>
  </si>
  <si>
    <t>2024 Plans</t>
  </si>
  <si>
    <t>Active Composite</t>
  </si>
  <si>
    <t>Retiree Single</t>
  </si>
  <si>
    <t>Retiree Family</t>
  </si>
  <si>
    <t>Active Single</t>
  </si>
  <si>
    <t>Active 2-Party</t>
  </si>
  <si>
    <t>Active Family</t>
  </si>
  <si>
    <t>Retiree 2-Party</t>
  </si>
  <si>
    <t>B3</t>
  </si>
  <si>
    <t>Single</t>
  </si>
  <si>
    <t>2-Party</t>
  </si>
  <si>
    <t>MEDICAL</t>
  </si>
  <si>
    <t>OOP Max Individual</t>
  </si>
  <si>
    <t>OOP Max Family</t>
  </si>
  <si>
    <t>Deductible Individual</t>
  </si>
  <si>
    <t>Deductible Family</t>
  </si>
  <si>
    <t>OOP individual</t>
  </si>
  <si>
    <t>OOP family</t>
  </si>
  <si>
    <r>
      <t xml:space="preserve">Services </t>
    </r>
    <r>
      <rPr>
        <sz val="12"/>
        <rFont val="Arial Narrow"/>
        <family val="2"/>
      </rPr>
      <t>(copays and insurance apply after deductible unless otherwise noted)</t>
    </r>
  </si>
  <si>
    <t>HWC Office Visit</t>
  </si>
  <si>
    <t>Office Visit Copay</t>
  </si>
  <si>
    <t>Labs, Scans and Diagnostics</t>
  </si>
  <si>
    <t>Hospitalization</t>
  </si>
  <si>
    <t>ER ($100 waived if admitted)</t>
  </si>
  <si>
    <t>Chiropractic / Acupuncture 
(limits apply)</t>
  </si>
  <si>
    <t>MD Live</t>
  </si>
  <si>
    <t>PRESCRIPTION</t>
  </si>
  <si>
    <t>Individual deductible (brand)</t>
  </si>
  <si>
    <t>Family deductible (brand)</t>
  </si>
  <si>
    <t>Costco or Mail up to 90# generic</t>
  </si>
  <si>
    <t>Costco or Mail up to 90# brand</t>
  </si>
  <si>
    <t>Brand and specialty retail or mail</t>
  </si>
  <si>
    <t>Retail 30#</t>
  </si>
  <si>
    <t>Name</t>
  </si>
  <si>
    <t>Column</t>
  </si>
  <si>
    <t>Claim Payments</t>
  </si>
  <si>
    <t>Row</t>
  </si>
  <si>
    <t>Employee 2-Party</t>
  </si>
  <si>
    <t>Employee Family</t>
  </si>
  <si>
    <t>Employee Single</t>
  </si>
  <si>
    <t>Employee Composite</t>
  </si>
  <si>
    <t>No</t>
  </si>
  <si>
    <t>Retiree</t>
  </si>
  <si>
    <t>Employee1</t>
  </si>
  <si>
    <t>Employee2</t>
  </si>
  <si>
    <t>Employee3</t>
  </si>
  <si>
    <t>A3</t>
  </si>
  <si>
    <t>Composite</t>
  </si>
  <si>
    <t>acr2</t>
  </si>
  <si>
    <t>Based on your input above, here is information which may help in deciding which plan to elect October 1st.</t>
  </si>
  <si>
    <t>Enter your district’s monthly contribution (based on a 12‑month schedule). If you’re part‑time, enter pro‑rated amount on a 12-month basis.</t>
  </si>
  <si>
    <t>If your district's contribution is greater than the cost of your plan, are you eligible for cash-in-lieu?</t>
  </si>
  <si>
    <t>If you are considering a change in medical plan, these plans provide the greatest savings (or lowest cost) in the best case (preventive care, only) and worse case (maximum use) scenarios considering the impact to your payroll and out-of-pocket (OOP) expenses.</t>
  </si>
  <si>
    <t>Spouse/
RDP</t>
  </si>
  <si>
    <t>Complete the boxes below to see your estimated plan costs.</t>
  </si>
  <si>
    <t>Net (Cost) Savings shows how your plan choice may affect your total costs for the year, combining changes to your paycheck (payroll deductions or cash‑in‑lieu payments) and your expected out‑of‑pocket medical and prescription costs based on the information you entered on the Scenario Input tab. Actual costs may vary.</t>
  </si>
  <si>
    <t>This chart helps you compare each plan by showing estimated results for Preventive Care, only and for Maximum Use.  The payroll and OOP costs are included for each plan.</t>
  </si>
  <si>
    <r>
      <t xml:space="preserve">Estimate the number of prescriptions below (list prescriptions, not refills). </t>
    </r>
    <r>
      <rPr>
        <i/>
        <sz val="16"/>
        <rFont val="Aptos"/>
        <family val="2"/>
      </rPr>
      <t xml:space="preserve">Do not include items dispensed at the HWCs.  </t>
    </r>
  </si>
  <si>
    <r>
      <t xml:space="preserve">Other services not listed above. </t>
    </r>
    <r>
      <rPr>
        <i/>
        <sz val="16"/>
        <rFont val="Aptos"/>
        <family val="2"/>
      </rPr>
      <t>Estimate total network charges via Estimate Your Cost at www.anthem.com/ca/sisc or by review of prior years' Explanations of Benefits</t>
    </r>
  </si>
  <si>
    <r>
      <t xml:space="preserve">Estimate the number of medical claims each member of your family will have during the plan year. </t>
    </r>
    <r>
      <rPr>
        <b/>
        <i/>
        <sz val="16"/>
        <rFont val="Aptos"/>
        <family val="2"/>
      </rPr>
      <t>Include only services of a network provider;</t>
    </r>
    <r>
      <rPr>
        <sz val="16"/>
        <rFont val="Aptos"/>
        <family val="2"/>
      </rPr>
      <t xml:space="preserve"> services by a non-network provider to not accumulate towards your out of pocket limits.</t>
    </r>
  </si>
  <si>
    <r>
      <rPr>
        <b/>
        <i/>
        <sz val="20"/>
        <rFont val="Aptos"/>
        <family val="2"/>
      </rPr>
      <t xml:space="preserve">This is not a determination of benefits </t>
    </r>
    <r>
      <rPr>
        <i/>
        <sz val="20"/>
        <rFont val="Aptos"/>
        <family val="2"/>
      </rPr>
      <t>and provides an estimate of your Net Cost or Savings for coverage and care based on the information you entered. Actual costs may vary. For full benefit details download the Summary Plan Description at www.bsspjpa.org/medical-rx-plans.</t>
    </r>
  </si>
  <si>
    <r>
      <rPr>
        <b/>
        <i/>
        <sz val="16"/>
        <rFont val="Aptos"/>
        <family val="2"/>
      </rPr>
      <t xml:space="preserve">This is not a determination of benefits </t>
    </r>
    <r>
      <rPr>
        <i/>
        <sz val="16"/>
        <rFont val="Aptos"/>
        <family val="2"/>
      </rPr>
      <t>and provides an estimate of your Net Cost or Savings for coverage and care based on the information you entered. Actual costs may vary. For full benefit details download the Summary Plan Description at www.bsspjpa.org/medical-rx-plans.</t>
    </r>
  </si>
  <si>
    <r>
      <rPr>
        <b/>
        <sz val="16"/>
        <rFont val="Aptos"/>
        <family val="2"/>
      </rPr>
      <t>Net Cost:</t>
    </r>
    <r>
      <rPr>
        <sz val="16"/>
        <rFont val="Aptos"/>
        <family val="2"/>
      </rPr>
      <t xml:space="preserve">  Your FSA, HSA or Checkbook Expense </t>
    </r>
    <r>
      <rPr>
        <i/>
        <sz val="16"/>
        <rFont val="Aptos"/>
        <family val="2"/>
      </rPr>
      <t xml:space="preserve">plus </t>
    </r>
    <r>
      <rPr>
        <sz val="16"/>
        <rFont val="Aptos"/>
        <family val="2"/>
      </rPr>
      <t xml:space="preserve">Paycheck Deduction </t>
    </r>
    <r>
      <rPr>
        <i/>
        <sz val="16"/>
        <rFont val="Aptos"/>
        <family val="2"/>
      </rPr>
      <t xml:space="preserve">less </t>
    </r>
    <r>
      <rPr>
        <sz val="16"/>
        <rFont val="Aptos"/>
        <family val="2"/>
      </rPr>
      <t>Paycheck Addition.</t>
    </r>
  </si>
  <si>
    <r>
      <rPr>
        <b/>
        <sz val="16"/>
        <rFont val="Aptos"/>
        <family val="2"/>
      </rPr>
      <t>Net Savings:</t>
    </r>
    <r>
      <rPr>
        <sz val="16"/>
        <rFont val="Aptos"/>
        <family val="2"/>
      </rPr>
      <t xml:space="preserve">  Your Paycheck Addition </t>
    </r>
    <r>
      <rPr>
        <i/>
        <sz val="16"/>
        <rFont val="Aptos"/>
        <family val="2"/>
      </rPr>
      <t>remaining after</t>
    </r>
    <r>
      <rPr>
        <sz val="16"/>
        <rFont val="Aptos"/>
        <family val="2"/>
      </rPr>
      <t xml:space="preserve"> FSA, HSA or Checkbook Expense.</t>
    </r>
  </si>
  <si>
    <t>Based on the Care Scenario you input on the Scenario Input tab, below is more detailed information on your estimated Net (Cost) Savings for each of your plan options. The plan with the highest Net Savings (or lowest Net Cost) from your Case Scenario is highlighted in yellow. If you are currently enrolled in a different plan, your current plan is highlighted in blue.</t>
  </si>
  <si>
    <r>
      <rPr>
        <b/>
        <i/>
        <sz val="16"/>
        <rFont val="Aptos"/>
        <family val="2"/>
      </rPr>
      <t xml:space="preserve">RESULTS: </t>
    </r>
    <r>
      <rPr>
        <sz val="16"/>
        <rFont val="Aptos"/>
        <family val="2"/>
      </rPr>
      <t>These plans offer the highest Net Savings (or lowest Net Cost) in these three situations: Preventive Care, your input Care Scenario, and Maximum Use.</t>
    </r>
  </si>
  <si>
    <t>Enter your information in the boxes below. The Scenario Results tab displays an estimate of your Net (Cost) Savings—including paycheck deductions or cash-in-lieu and out‑of‑pocket care—based on three cases: 
*Preventive Care, only
*Scenario input below
*Maximum Use</t>
  </si>
  <si>
    <t>Scenario:</t>
  </si>
  <si>
    <r>
      <rPr>
        <u/>
        <sz val="16"/>
        <rFont val="Aptos"/>
        <family val="2"/>
      </rPr>
      <t>Preventive Care</t>
    </r>
    <r>
      <rPr>
        <sz val="16"/>
        <rFont val="Aptos"/>
        <family val="2"/>
      </rPr>
      <t>: wellness exams, vaccinations and screenings, only</t>
    </r>
  </si>
  <si>
    <r>
      <rPr>
        <u/>
        <sz val="16"/>
        <rFont val="Aptos"/>
        <family val="2"/>
      </rPr>
      <t>Maximum Use</t>
    </r>
    <r>
      <rPr>
        <sz val="16"/>
        <rFont val="Aptos"/>
        <family val="2"/>
      </rPr>
      <t>: Out-of-pocket maximums are met</t>
    </r>
  </si>
  <si>
    <t>More Information</t>
  </si>
  <si>
    <t>Annual</t>
  </si>
  <si>
    <r>
      <t xml:space="preserve">Monthly
</t>
    </r>
    <r>
      <rPr>
        <sz val="10"/>
        <rFont val="Aptos"/>
        <family val="2"/>
      </rPr>
      <t>(12-month basis)</t>
    </r>
  </si>
  <si>
    <r>
      <t xml:space="preserve">RESULT:  </t>
    </r>
    <r>
      <rPr>
        <i/>
        <sz val="16"/>
        <rFont val="Aptos"/>
        <family val="2"/>
      </rPr>
      <t>If you stay with your current medical plan, this is your estimated cash‑in‑lieu (or payroll deduction) beginning October 1st:</t>
    </r>
  </si>
  <si>
    <t>Palermo CSEA</t>
  </si>
  <si>
    <t>BCOE BCTA, MGMT &amp; Others</t>
  </si>
  <si>
    <t>surgery</t>
  </si>
  <si>
    <t>Copay Frequency</t>
  </si>
  <si>
    <t>Months Covered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</si>
</sst>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quot;$&quot;#,##0"/>
    <numFmt numFmtId="167" formatCode="_(&quot;$&quot;* #,##0_);_(&quot;$&quot;* \(#,##0\);;"/>
    <numFmt numFmtId="168" formatCode="m/d/yyyy\ hh:mm\ AM/PM"/>
  </numFmts>
  <fonts count="66" x14ac:knownFonts="1">
    <font>
      <sz val="12"/>
      <name val="Arial Narrow"/>
    </font>
    <font>
      <sz val="12"/>
      <name val="Arial Narrow"/>
      <family val="2"/>
    </font>
    <font>
      <sz val="8"/>
      <name val="Arial Narrow"/>
      <family val="2"/>
    </font>
    <font>
      <b/>
      <sz val="12"/>
      <name val="Arial Narrow"/>
      <family val="2"/>
    </font>
    <font>
      <b/>
      <u val="singleAccounting"/>
      <sz val="12"/>
      <name val="Arial Narrow"/>
      <family val="2"/>
    </font>
    <font>
      <sz val="14"/>
      <name val="Arial Narrow"/>
      <family val="2"/>
    </font>
    <font>
      <b/>
      <sz val="12"/>
      <color theme="0"/>
      <name val="Arial Narrow"/>
      <family val="2"/>
    </font>
    <font>
      <sz val="11"/>
      <name val="Arial Narrow"/>
      <family val="2"/>
    </font>
    <font>
      <sz val="16"/>
      <name val="Verdana"/>
      <family val="2"/>
    </font>
    <font>
      <b/>
      <sz val="14"/>
      <name val="Verdana"/>
      <family val="2"/>
    </font>
    <font>
      <b/>
      <u val="singleAccounting"/>
      <sz val="14"/>
      <name val="Verdana"/>
      <family val="2"/>
    </font>
    <font>
      <b/>
      <u val="singleAccounting"/>
      <sz val="14"/>
      <color indexed="12"/>
      <name val="Verdana"/>
      <family val="2"/>
    </font>
    <font>
      <i/>
      <sz val="20"/>
      <name val="Verdana"/>
      <family val="2"/>
    </font>
    <font>
      <sz val="14"/>
      <name val="Verdana"/>
      <family val="2"/>
    </font>
    <font>
      <u val="singleAccounting"/>
      <sz val="14"/>
      <name val="Verdana"/>
      <family val="2"/>
    </font>
    <font>
      <b/>
      <u val="doubleAccounting"/>
      <sz val="14"/>
      <name val="Verdana"/>
      <family val="2"/>
    </font>
    <font>
      <b/>
      <sz val="20"/>
      <name val="Aptos"/>
      <family val="2"/>
    </font>
    <font>
      <sz val="12"/>
      <name val="Aptos"/>
      <family val="2"/>
    </font>
    <font>
      <sz val="12"/>
      <color rgb="FFFF0000"/>
      <name val="Aptos"/>
      <family val="2"/>
    </font>
    <font>
      <b/>
      <sz val="26"/>
      <name val="Aptos"/>
      <family val="2"/>
    </font>
    <font>
      <sz val="16"/>
      <name val="Aptos"/>
      <family val="2"/>
    </font>
    <font>
      <sz val="16"/>
      <color rgb="FFFF0000"/>
      <name val="Aptos"/>
      <family val="2"/>
    </font>
    <font>
      <b/>
      <sz val="16"/>
      <name val="Aptos"/>
      <family val="2"/>
    </font>
    <font>
      <b/>
      <sz val="18"/>
      <name val="Aptos"/>
      <family val="2"/>
    </font>
    <font>
      <b/>
      <sz val="19"/>
      <name val="Aptos"/>
      <family val="2"/>
    </font>
    <font>
      <b/>
      <sz val="19"/>
      <color rgb="FFFF0000"/>
      <name val="Aptos"/>
      <family val="2"/>
    </font>
    <font>
      <b/>
      <sz val="14"/>
      <name val="Aptos"/>
      <family val="2"/>
    </font>
    <font>
      <b/>
      <sz val="16"/>
      <color theme="1"/>
      <name val="Aptos"/>
      <family val="2"/>
    </font>
    <font>
      <b/>
      <i/>
      <sz val="16"/>
      <color theme="1"/>
      <name val="Aptos"/>
      <family val="2"/>
    </font>
    <font>
      <b/>
      <sz val="12"/>
      <color rgb="FFFF0000"/>
      <name val="Aptos"/>
      <family val="2"/>
    </font>
    <font>
      <b/>
      <sz val="12"/>
      <name val="Aptos"/>
      <family val="2"/>
    </font>
    <font>
      <b/>
      <i/>
      <sz val="16"/>
      <color theme="9" tint="-0.249977111117893"/>
      <name val="Aptos"/>
      <family val="2"/>
    </font>
    <font>
      <b/>
      <i/>
      <sz val="16"/>
      <name val="Aptos"/>
      <family val="2"/>
    </font>
    <font>
      <u val="singleAccounting"/>
      <sz val="16"/>
      <name val="Aptos"/>
      <family val="2"/>
    </font>
    <font>
      <u val="singleAccounting"/>
      <sz val="14"/>
      <name val="Aptos"/>
      <family val="2"/>
    </font>
    <font>
      <b/>
      <sz val="13.5"/>
      <name val="Aptos"/>
      <family val="2"/>
    </font>
    <font>
      <sz val="18"/>
      <name val="Aptos"/>
      <family val="2"/>
    </font>
    <font>
      <sz val="11"/>
      <color theme="1"/>
      <name val="Aptos"/>
      <family val="2"/>
    </font>
    <font>
      <sz val="14"/>
      <name val="Aptos"/>
      <family val="2"/>
    </font>
    <font>
      <i/>
      <sz val="16"/>
      <name val="Aptos"/>
      <family val="2"/>
    </font>
    <font>
      <i/>
      <sz val="20"/>
      <name val="Aptos"/>
      <family val="2"/>
    </font>
    <font>
      <b/>
      <i/>
      <sz val="20"/>
      <name val="Aptos"/>
      <family val="2"/>
    </font>
    <font>
      <sz val="20"/>
      <name val="Aptos"/>
      <family val="2"/>
    </font>
    <font>
      <b/>
      <u val="singleAccounting"/>
      <sz val="15.5"/>
      <name val="Aptos"/>
      <family val="2"/>
    </font>
    <font>
      <b/>
      <u val="singleAccounting"/>
      <sz val="16"/>
      <name val="Aptos"/>
      <family val="2"/>
    </font>
    <font>
      <b/>
      <u val="singleAccounting"/>
      <sz val="14"/>
      <color indexed="12"/>
      <name val="Aptos"/>
      <family val="2"/>
    </font>
    <font>
      <b/>
      <u val="singleAccounting"/>
      <sz val="14"/>
      <name val="Aptos"/>
      <family val="2"/>
    </font>
    <font>
      <b/>
      <u val="singleAccounting"/>
      <sz val="12"/>
      <name val="Aptos"/>
      <family val="2"/>
    </font>
    <font>
      <b/>
      <u val="doubleAccounting"/>
      <sz val="14"/>
      <name val="Aptos"/>
      <family val="2"/>
    </font>
    <font>
      <b/>
      <sz val="16.5"/>
      <name val="Aptos"/>
      <family val="2"/>
    </font>
    <font>
      <sz val="16"/>
      <color theme="0"/>
      <name val="Aptos"/>
      <family val="2"/>
    </font>
    <font>
      <u/>
      <sz val="12"/>
      <name val="Aptos"/>
      <family val="2"/>
    </font>
    <font>
      <u/>
      <sz val="16"/>
      <name val="Aptos"/>
      <family val="2"/>
    </font>
    <font>
      <b/>
      <sz val="12"/>
      <color rgb="FFC00000"/>
      <name val="Aptos"/>
      <family val="2"/>
    </font>
    <font>
      <sz val="12"/>
      <color rgb="FFC00000"/>
      <name val="Aptos"/>
      <family val="2"/>
    </font>
    <font>
      <sz val="16"/>
      <color rgb="FFC00000"/>
      <name val="Aptos"/>
      <family val="2"/>
    </font>
    <font>
      <b/>
      <sz val="19"/>
      <color rgb="FFC00000"/>
      <name val="Aptos"/>
      <family val="2"/>
    </font>
    <font>
      <b/>
      <sz val="16"/>
      <color rgb="FFC00000"/>
      <name val="Aptos"/>
      <family val="2"/>
    </font>
    <font>
      <b/>
      <sz val="14"/>
      <color rgb="FFC00000"/>
      <name val="Aptos"/>
      <family val="2"/>
    </font>
    <font>
      <b/>
      <sz val="13.5"/>
      <color rgb="FFC00000"/>
      <name val="Aptos"/>
      <family val="2"/>
    </font>
    <font>
      <sz val="13.5"/>
      <color rgb="FFC00000"/>
      <name val="Aptos"/>
      <family val="2"/>
    </font>
    <font>
      <b/>
      <u val="singleAccounting"/>
      <sz val="14"/>
      <color rgb="FFC00000"/>
      <name val="Verdana"/>
      <family val="2"/>
    </font>
    <font>
      <b/>
      <sz val="14"/>
      <color rgb="FFC00000"/>
      <name val="Verdana"/>
      <family val="2"/>
    </font>
    <font>
      <sz val="14"/>
      <color rgb="FFC00000"/>
      <name val="Verdana"/>
      <family val="2"/>
    </font>
    <font>
      <u val="singleAccounting"/>
      <sz val="14"/>
      <color rgb="FFC00000"/>
      <name val="Verdana"/>
      <family val="2"/>
    </font>
    <font>
      <sz val="10"/>
      <name val="Aptos"/>
      <family val="2"/>
    </font>
  </fonts>
  <fills count="17">
    <fill>
      <patternFill patternType="none"/>
    </fill>
    <fill>
      <patternFill patternType="gray125"/>
    </fill>
    <fill>
      <patternFill patternType="solid">
        <fgColor theme="8" tint="0.79998168889431442"/>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0033CC"/>
        <bgColor indexed="64"/>
      </patternFill>
    </fill>
    <fill>
      <patternFill patternType="solid">
        <fgColor rgb="FFFFFF99"/>
        <bgColor indexed="64"/>
      </patternFill>
    </fill>
    <fill>
      <patternFill patternType="solid">
        <fgColor rgb="FF92D050"/>
        <bgColor indexed="64"/>
      </patternFill>
    </fill>
    <fill>
      <patternFill patternType="solid">
        <fgColor rgb="FFFFC000"/>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0" tint="-0.14999847407452621"/>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medium">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medium">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top style="medium">
        <color indexed="64"/>
      </top>
      <bottom style="dotted">
        <color indexed="64"/>
      </bottom>
      <diagonal/>
    </border>
    <border>
      <left/>
      <right/>
      <top style="dotted">
        <color indexed="64"/>
      </top>
      <bottom style="dotted">
        <color indexed="64"/>
      </bottom>
      <diagonal/>
    </border>
    <border>
      <left/>
      <right/>
      <top style="dotted">
        <color indexed="64"/>
      </top>
      <bottom style="medium">
        <color indexed="64"/>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double">
        <color indexed="64"/>
      </bottom>
      <diagonal/>
    </border>
    <border>
      <left/>
      <right/>
      <top style="double">
        <color indexed="64"/>
      </top>
      <bottom style="double">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31">
    <xf numFmtId="0" fontId="0" fillId="0" borderId="0" xfId="0"/>
    <xf numFmtId="49" fontId="0" fillId="0" borderId="0" xfId="0" applyNumberFormat="1" applyAlignment="1">
      <alignment horizontal="left" wrapText="1"/>
    </xf>
    <xf numFmtId="43" fontId="3" fillId="0" borderId="1" xfId="1" applyFont="1" applyBorder="1" applyAlignment="1" applyProtection="1">
      <alignment horizontal="right" wrapText="1"/>
    </xf>
    <xf numFmtId="43" fontId="4" fillId="0" borderId="0" xfId="1" applyFont="1" applyAlignment="1" applyProtection="1">
      <alignment horizontal="right"/>
    </xf>
    <xf numFmtId="49" fontId="0" fillId="0" borderId="0" xfId="0" applyNumberFormat="1" applyAlignment="1">
      <alignment horizontal="left" wrapText="1" indent="2"/>
    </xf>
    <xf numFmtId="165" fontId="1" fillId="0" borderId="0" xfId="1" applyNumberFormat="1" applyFont="1" applyProtection="1"/>
    <xf numFmtId="43" fontId="4" fillId="0" borderId="0" xfId="1" applyFont="1" applyBorder="1" applyAlignment="1" applyProtection="1">
      <alignment wrapText="1"/>
    </xf>
    <xf numFmtId="0" fontId="5" fillId="0" borderId="0" xfId="0" applyFont="1"/>
    <xf numFmtId="43" fontId="4" fillId="2" borderId="5" xfId="1" applyFont="1" applyFill="1" applyBorder="1" applyAlignment="1" applyProtection="1">
      <alignment horizontal="right" wrapText="1"/>
    </xf>
    <xf numFmtId="43" fontId="4" fillId="2" borderId="7" xfId="1" applyFont="1" applyFill="1" applyBorder="1" applyAlignment="1" applyProtection="1">
      <alignment horizontal="right" wrapText="1"/>
    </xf>
    <xf numFmtId="165" fontId="1" fillId="2" borderId="8" xfId="1" applyNumberFormat="1" applyFont="1" applyFill="1" applyBorder="1" applyProtection="1"/>
    <xf numFmtId="165" fontId="1" fillId="2" borderId="1" xfId="1" applyNumberFormat="1" applyFont="1" applyFill="1" applyBorder="1" applyProtection="1"/>
    <xf numFmtId="165" fontId="1" fillId="2" borderId="9" xfId="1" applyNumberFormat="1" applyFont="1" applyFill="1" applyBorder="1" applyProtection="1"/>
    <xf numFmtId="165" fontId="1" fillId="2" borderId="10" xfId="1" applyNumberFormat="1" applyFont="1" applyFill="1" applyBorder="1" applyProtection="1"/>
    <xf numFmtId="165" fontId="1" fillId="2" borderId="11" xfId="1" applyNumberFormat="1" applyFont="1" applyFill="1" applyBorder="1" applyProtection="1"/>
    <xf numFmtId="165" fontId="1" fillId="2" borderId="12" xfId="1" applyNumberFormat="1" applyFont="1" applyFill="1" applyBorder="1" applyProtection="1"/>
    <xf numFmtId="165" fontId="1" fillId="2" borderId="16" xfId="1" applyNumberFormat="1" applyFont="1" applyFill="1" applyBorder="1" applyProtection="1"/>
    <xf numFmtId="0" fontId="1" fillId="0" borderId="0" xfId="0" applyFont="1"/>
    <xf numFmtId="0" fontId="1" fillId="0" borderId="0" xfId="0" applyFont="1" applyAlignment="1">
      <alignment wrapText="1"/>
    </xf>
    <xf numFmtId="0" fontId="3" fillId="0" borderId="0" xfId="0" applyFont="1" applyAlignment="1">
      <alignment horizontal="center"/>
    </xf>
    <xf numFmtId="0" fontId="3" fillId="0" borderId="0" xfId="0" applyFont="1" applyAlignment="1">
      <alignment horizontal="right" wrapText="1"/>
    </xf>
    <xf numFmtId="0" fontId="3" fillId="3" borderId="20" xfId="0" applyFont="1" applyFill="1" applyBorder="1" applyAlignment="1">
      <alignment horizontal="center" wrapText="1"/>
    </xf>
    <xf numFmtId="0" fontId="3" fillId="3" borderId="21" xfId="0" applyFont="1" applyFill="1" applyBorder="1" applyAlignment="1">
      <alignment horizontal="center" wrapText="1"/>
    </xf>
    <xf numFmtId="0" fontId="1" fillId="0" borderId="22" xfId="0" applyFont="1" applyBorder="1" applyAlignment="1">
      <alignment horizontal="right" wrapText="1"/>
    </xf>
    <xf numFmtId="0" fontId="1" fillId="0" borderId="0" xfId="0" applyFont="1" applyAlignment="1">
      <alignment horizontal="center"/>
    </xf>
    <xf numFmtId="0" fontId="1" fillId="0" borderId="25" xfId="0" applyFont="1" applyBorder="1" applyAlignment="1">
      <alignment horizontal="right" wrapText="1"/>
    </xf>
    <xf numFmtId="0" fontId="1" fillId="0" borderId="28" xfId="0" applyFont="1" applyBorder="1" applyAlignment="1">
      <alignment horizontal="right" wrapText="1"/>
    </xf>
    <xf numFmtId="0" fontId="1" fillId="0" borderId="31" xfId="0" applyFont="1" applyBorder="1" applyAlignment="1">
      <alignment horizontal="right" wrapText="1"/>
    </xf>
    <xf numFmtId="166" fontId="1" fillId="0" borderId="32" xfId="0" applyNumberFormat="1" applyFont="1" applyBorder="1" applyAlignment="1">
      <alignment horizontal="center" wrapText="1"/>
    </xf>
    <xf numFmtId="166" fontId="1" fillId="0" borderId="33" xfId="0" applyNumberFormat="1" applyFont="1" applyBorder="1" applyAlignment="1">
      <alignment horizontal="center" wrapText="1"/>
    </xf>
    <xf numFmtId="0" fontId="1" fillId="0" borderId="34" xfId="0" applyFont="1" applyBorder="1" applyAlignment="1">
      <alignment horizontal="right" wrapText="1"/>
    </xf>
    <xf numFmtId="166" fontId="1" fillId="0" borderId="35" xfId="0" applyNumberFormat="1" applyFont="1" applyBorder="1" applyAlignment="1">
      <alignment horizontal="center" wrapText="1"/>
    </xf>
    <xf numFmtId="166" fontId="1" fillId="0" borderId="36" xfId="0" applyNumberFormat="1" applyFont="1" applyBorder="1" applyAlignment="1">
      <alignment horizontal="center" wrapText="1"/>
    </xf>
    <xf numFmtId="0" fontId="1" fillId="0" borderId="37" xfId="0" applyFont="1" applyBorder="1" applyAlignment="1">
      <alignment horizontal="right" wrapText="1"/>
    </xf>
    <xf numFmtId="166" fontId="1" fillId="0" borderId="38" xfId="0" applyNumberFormat="1" applyFont="1" applyBorder="1" applyAlignment="1">
      <alignment horizontal="center" wrapText="1"/>
    </xf>
    <xf numFmtId="166" fontId="1" fillId="0" borderId="39" xfId="0" applyNumberFormat="1" applyFont="1" applyBorder="1" applyAlignment="1">
      <alignment horizontal="center" wrapText="1"/>
    </xf>
    <xf numFmtId="0" fontId="1" fillId="0" borderId="40" xfId="0" applyFont="1" applyBorder="1" applyAlignment="1">
      <alignment horizontal="right" wrapText="1"/>
    </xf>
    <xf numFmtId="0" fontId="1" fillId="0" borderId="41" xfId="0" applyFont="1" applyBorder="1" applyAlignment="1">
      <alignment horizontal="right" wrapText="1"/>
    </xf>
    <xf numFmtId="0" fontId="1" fillId="0" borderId="42" xfId="0" applyFont="1" applyBorder="1" applyAlignment="1">
      <alignment horizontal="right" wrapText="1"/>
    </xf>
    <xf numFmtId="0" fontId="4" fillId="4" borderId="0" xfId="0" applyFont="1" applyFill="1" applyAlignment="1">
      <alignment horizontal="center" vertical="center"/>
    </xf>
    <xf numFmtId="0" fontId="1" fillId="0" borderId="0" xfId="0" applyFont="1" applyAlignment="1">
      <alignment vertical="top"/>
    </xf>
    <xf numFmtId="0" fontId="1" fillId="0" borderId="10" xfId="0" applyFont="1" applyBorder="1" applyAlignment="1">
      <alignment horizontal="left" vertical="top" indent="1"/>
    </xf>
    <xf numFmtId="0" fontId="1" fillId="0" borderId="11" xfId="0" applyFont="1" applyBorder="1" applyAlignment="1">
      <alignment horizontal="left" vertical="top"/>
    </xf>
    <xf numFmtId="0" fontId="1" fillId="0" borderId="1" xfId="0" applyFont="1" applyBorder="1" applyAlignment="1">
      <alignment horizontal="center" vertical="top"/>
    </xf>
    <xf numFmtId="6" fontId="1" fillId="0" borderId="1" xfId="0" applyNumberFormat="1" applyFont="1" applyBorder="1" applyAlignment="1">
      <alignment horizontal="center" vertical="top"/>
    </xf>
    <xf numFmtId="0" fontId="1" fillId="0" borderId="0" xfId="0" applyFont="1" applyAlignment="1">
      <alignment horizontal="left" vertical="top"/>
    </xf>
    <xf numFmtId="0" fontId="1" fillId="0" borderId="10" xfId="0" applyFont="1" applyBorder="1" applyAlignment="1">
      <alignment horizontal="left" vertical="top"/>
    </xf>
    <xf numFmtId="9" fontId="1" fillId="0" borderId="1" xfId="0" applyNumberFormat="1" applyFont="1" applyBorder="1" applyAlignment="1">
      <alignment horizontal="center" vertical="top"/>
    </xf>
    <xf numFmtId="5" fontId="1" fillId="0" borderId="10" xfId="2" applyNumberFormat="1" applyFont="1" applyBorder="1" applyAlignment="1">
      <alignment horizontal="left" vertical="top"/>
    </xf>
    <xf numFmtId="5" fontId="1" fillId="0" borderId="11" xfId="2" applyNumberFormat="1" applyFont="1" applyBorder="1" applyAlignment="1">
      <alignment horizontal="left" vertical="top"/>
    </xf>
    <xf numFmtId="5" fontId="1" fillId="0" borderId="1" xfId="2" applyNumberFormat="1" applyFont="1" applyBorder="1" applyAlignment="1">
      <alignment horizontal="center" vertical="top"/>
    </xf>
    <xf numFmtId="5" fontId="1" fillId="0" borderId="0" xfId="2" applyNumberFormat="1" applyFont="1" applyBorder="1" applyAlignment="1">
      <alignment vertical="top"/>
    </xf>
    <xf numFmtId="5" fontId="1" fillId="0" borderId="0" xfId="2" applyNumberFormat="1" applyFont="1" applyBorder="1" applyAlignment="1">
      <alignment horizontal="left" vertical="top"/>
    </xf>
    <xf numFmtId="0" fontId="6" fillId="5" borderId="20" xfId="0" applyFont="1" applyFill="1" applyBorder="1" applyAlignment="1">
      <alignment horizontal="center" wrapText="1"/>
    </xf>
    <xf numFmtId="0" fontId="1" fillId="0" borderId="0" xfId="0" applyFont="1" applyAlignment="1">
      <alignment vertical="center"/>
    </xf>
    <xf numFmtId="0" fontId="1" fillId="0" borderId="0" xfId="0" applyFont="1" applyAlignment="1">
      <alignment vertical="center" wrapText="1"/>
    </xf>
    <xf numFmtId="0" fontId="1" fillId="6" borderId="0" xfId="0" applyFont="1" applyFill="1"/>
    <xf numFmtId="0" fontId="1" fillId="0" borderId="0" xfId="0" applyFont="1" applyAlignment="1">
      <alignment horizontal="left"/>
    </xf>
    <xf numFmtId="0" fontId="7" fillId="0" borderId="0" xfId="0" applyFont="1"/>
    <xf numFmtId="0" fontId="7" fillId="6" borderId="0" xfId="0" applyFont="1" applyFill="1" applyAlignment="1">
      <alignment vertical="top" wrapText="1"/>
    </xf>
    <xf numFmtId="0" fontId="7" fillId="6" borderId="0" xfId="0" applyFont="1" applyFill="1" applyAlignment="1">
      <alignment vertical="top"/>
    </xf>
    <xf numFmtId="165" fontId="1" fillId="0" borderId="1" xfId="1" applyNumberFormat="1" applyFont="1" applyFill="1" applyBorder="1" applyProtection="1"/>
    <xf numFmtId="43" fontId="4" fillId="0" borderId="0" xfId="1" applyFont="1" applyBorder="1" applyAlignment="1" applyProtection="1">
      <alignment horizontal="right"/>
    </xf>
    <xf numFmtId="0" fontId="0" fillId="0" borderId="0" xfId="0" applyProtection="1">
      <protection locked="0"/>
    </xf>
    <xf numFmtId="0" fontId="0" fillId="0" borderId="0" xfId="0" applyAlignment="1">
      <alignment horizontal="left" wrapText="1"/>
    </xf>
    <xf numFmtId="0" fontId="1" fillId="7" borderId="0" xfId="0" applyFont="1" applyFill="1"/>
    <xf numFmtId="165" fontId="1" fillId="0" borderId="0" xfId="1" applyNumberFormat="1" applyFont="1" applyFill="1" applyBorder="1" applyProtection="1"/>
    <xf numFmtId="0" fontId="1" fillId="0" borderId="0" xfId="0" applyFont="1" applyAlignment="1">
      <alignment horizontal="left" vertical="top" wrapText="1"/>
    </xf>
    <xf numFmtId="165" fontId="1" fillId="0" borderId="0" xfId="1" applyNumberFormat="1" applyFont="1" applyFill="1" applyAlignment="1" applyProtection="1">
      <alignment horizontal="right"/>
      <protection locked="0"/>
    </xf>
    <xf numFmtId="43" fontId="1" fillId="0" borderId="0" xfId="1" applyFont="1" applyBorder="1" applyProtection="1"/>
    <xf numFmtId="43" fontId="1" fillId="0" borderId="0" xfId="1" applyFont="1" applyProtection="1"/>
    <xf numFmtId="0" fontId="1" fillId="0" borderId="0" xfId="0" applyFont="1" applyAlignment="1">
      <alignment horizontal="right" vertical="top" wrapText="1"/>
    </xf>
    <xf numFmtId="0" fontId="0" fillId="0" borderId="0" xfId="0" applyAlignment="1">
      <alignment horizontal="center"/>
    </xf>
    <xf numFmtId="0" fontId="1" fillId="0" borderId="0" xfId="0" applyFont="1" applyAlignment="1">
      <alignment horizontal="right"/>
    </xf>
    <xf numFmtId="0" fontId="1" fillId="0" borderId="2" xfId="0" applyFont="1" applyBorder="1"/>
    <xf numFmtId="165" fontId="0" fillId="0" borderId="0" xfId="1" applyNumberFormat="1" applyFont="1" applyFill="1" applyBorder="1" applyProtection="1"/>
    <xf numFmtId="165" fontId="0" fillId="0" borderId="0" xfId="1" applyNumberFormat="1" applyFont="1" applyFill="1" applyProtection="1"/>
    <xf numFmtId="0" fontId="1" fillId="0" borderId="10" xfId="0" applyFont="1" applyBorder="1" applyAlignment="1">
      <alignment horizontal="left" vertical="center"/>
    </xf>
    <xf numFmtId="0" fontId="1" fillId="0" borderId="13" xfId="0" applyFont="1" applyBorder="1" applyAlignment="1">
      <alignment horizontal="left" vertical="center"/>
    </xf>
    <xf numFmtId="0" fontId="1" fillId="0" borderId="14" xfId="0" applyFont="1" applyBorder="1" applyAlignment="1">
      <alignment horizontal="left" vertical="top"/>
    </xf>
    <xf numFmtId="166" fontId="1" fillId="0" borderId="51" xfId="0" applyNumberFormat="1" applyFont="1" applyBorder="1" applyAlignment="1">
      <alignment horizontal="center" wrapText="1"/>
    </xf>
    <xf numFmtId="166" fontId="1" fillId="0" borderId="52" xfId="0" applyNumberFormat="1" applyFont="1" applyBorder="1" applyAlignment="1">
      <alignment horizontal="center" wrapText="1"/>
    </xf>
    <xf numFmtId="0" fontId="3" fillId="4" borderId="1"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1" xfId="0" applyFont="1" applyBorder="1" applyAlignment="1">
      <alignment horizontal="center" vertical="center" wrapText="1" shrinkToFit="1"/>
    </xf>
    <xf numFmtId="0" fontId="1" fillId="0" borderId="1" xfId="0" applyFont="1" applyBorder="1" applyAlignment="1">
      <alignment horizontal="center" vertical="center" wrapText="1"/>
    </xf>
    <xf numFmtId="6" fontId="1" fillId="0" borderId="1" xfId="0" applyNumberFormat="1" applyFont="1" applyBorder="1" applyAlignment="1">
      <alignment horizontal="center" vertical="center"/>
    </xf>
    <xf numFmtId="6" fontId="1" fillId="0" borderId="1" xfId="0" applyNumberFormat="1" applyFont="1" applyBorder="1" applyAlignment="1">
      <alignment horizontal="center" vertical="center" wrapText="1"/>
    </xf>
    <xf numFmtId="0" fontId="1" fillId="0" borderId="1" xfId="0" applyFont="1" applyBorder="1" applyAlignment="1">
      <alignment horizontal="center" vertical="center" shrinkToFit="1"/>
    </xf>
    <xf numFmtId="6" fontId="1" fillId="0" borderId="1" xfId="0" applyNumberFormat="1" applyFont="1" applyBorder="1" applyAlignment="1">
      <alignment horizontal="center" vertical="center" shrinkToFit="1"/>
    </xf>
    <xf numFmtId="6" fontId="1" fillId="0" borderId="1" xfId="0" quotePrefix="1" applyNumberFormat="1" applyFont="1" applyBorder="1" applyAlignment="1">
      <alignment horizontal="center" vertical="center" shrinkToFit="1"/>
    </xf>
    <xf numFmtId="0" fontId="3" fillId="4" borderId="53" xfId="0" applyFont="1" applyFill="1" applyBorder="1" applyAlignment="1">
      <alignment horizontal="left" vertical="center"/>
    </xf>
    <xf numFmtId="0" fontId="3" fillId="4" borderId="54" xfId="0" applyFont="1" applyFill="1" applyBorder="1" applyAlignment="1">
      <alignment horizontal="left" vertical="center" wrapText="1"/>
    </xf>
    <xf numFmtId="0" fontId="3" fillId="4" borderId="55" xfId="0" applyFont="1" applyFill="1" applyBorder="1" applyAlignment="1">
      <alignment horizontal="right" vertical="center" wrapText="1"/>
    </xf>
    <xf numFmtId="0" fontId="3" fillId="0" borderId="10" xfId="0" applyFont="1" applyBorder="1" applyAlignment="1">
      <alignment horizontal="left" vertical="top"/>
    </xf>
    <xf numFmtId="0" fontId="3" fillId="0" borderId="11" xfId="0" applyFont="1" applyBorder="1" applyAlignment="1">
      <alignment horizontal="left" vertical="top"/>
    </xf>
    <xf numFmtId="0" fontId="3" fillId="0" borderId="17" xfId="0" applyFont="1" applyBorder="1" applyAlignment="1">
      <alignment horizontal="left" vertical="top" wrapText="1"/>
    </xf>
    <xf numFmtId="0" fontId="3" fillId="0" borderId="10" xfId="0" applyFont="1" applyBorder="1" applyAlignment="1">
      <alignment horizontal="left" vertical="top" indent="1"/>
    </xf>
    <xf numFmtId="0" fontId="1" fillId="0" borderId="17" xfId="0" applyFont="1" applyBorder="1" applyAlignment="1">
      <alignment horizontal="left" vertical="top" wrapText="1" indent="1"/>
    </xf>
    <xf numFmtId="0" fontId="1" fillId="0" borderId="17" xfId="0" applyFont="1" applyBorder="1" applyAlignment="1">
      <alignment horizontal="left" vertical="top" wrapText="1"/>
    </xf>
    <xf numFmtId="5" fontId="1" fillId="0" borderId="17" xfId="2" applyNumberFormat="1" applyFont="1" applyBorder="1" applyAlignment="1">
      <alignment horizontal="left" vertical="top" wrapText="1"/>
    </xf>
    <xf numFmtId="0" fontId="3" fillId="4" borderId="10" xfId="0" applyFont="1" applyFill="1" applyBorder="1" applyAlignment="1">
      <alignment horizontal="left" vertical="center"/>
    </xf>
    <xf numFmtId="0" fontId="3" fillId="4" borderId="11" xfId="0" applyFont="1" applyFill="1" applyBorder="1" applyAlignment="1">
      <alignment horizontal="left" vertical="center" wrapText="1"/>
    </xf>
    <xf numFmtId="0" fontId="3" fillId="4" borderId="17" xfId="0" applyFont="1" applyFill="1" applyBorder="1" applyAlignment="1">
      <alignment horizontal="right" vertical="center" wrapText="1"/>
    </xf>
    <xf numFmtId="0" fontId="3" fillId="0" borderId="17" xfId="0" applyFont="1" applyBorder="1" applyAlignment="1">
      <alignment horizontal="left" vertical="top"/>
    </xf>
    <xf numFmtId="0" fontId="1" fillId="0" borderId="15" xfId="0" applyFont="1" applyBorder="1" applyAlignment="1">
      <alignment horizontal="left" vertical="top" wrapText="1" indent="1"/>
    </xf>
    <xf numFmtId="0" fontId="0" fillId="0" borderId="0" xfId="0" applyAlignment="1">
      <alignment horizontal="right"/>
    </xf>
    <xf numFmtId="0" fontId="1" fillId="0" borderId="0" xfId="0" quotePrefix="1" applyFont="1" applyAlignment="1">
      <alignment horizontal="right" wrapText="1"/>
    </xf>
    <xf numFmtId="165" fontId="1" fillId="2" borderId="0" xfId="1" applyNumberFormat="1" applyFont="1" applyFill="1" applyBorder="1" applyProtection="1"/>
    <xf numFmtId="49" fontId="1" fillId="0" borderId="0" xfId="0" applyNumberFormat="1" applyFont="1" applyAlignment="1">
      <alignment horizontal="left" wrapText="1" indent="1"/>
    </xf>
    <xf numFmtId="165" fontId="1" fillId="2" borderId="0" xfId="1" applyNumberFormat="1" applyFont="1" applyFill="1" applyBorder="1" applyAlignment="1" applyProtection="1">
      <alignment horizontal="right"/>
    </xf>
    <xf numFmtId="165" fontId="1" fillId="2" borderId="4" xfId="1" applyNumberFormat="1" applyFont="1" applyFill="1" applyBorder="1" applyProtection="1"/>
    <xf numFmtId="165" fontId="1" fillId="2" borderId="5" xfId="1" applyNumberFormat="1" applyFont="1" applyFill="1" applyBorder="1" applyAlignment="1" applyProtection="1">
      <alignment horizontal="right"/>
    </xf>
    <xf numFmtId="165" fontId="1" fillId="2" borderId="56" xfId="1" applyNumberFormat="1" applyFont="1" applyFill="1" applyBorder="1" applyProtection="1"/>
    <xf numFmtId="165" fontId="1" fillId="2" borderId="3" xfId="1" applyNumberFormat="1" applyFont="1" applyFill="1" applyBorder="1" applyProtection="1"/>
    <xf numFmtId="165" fontId="1" fillId="2" borderId="50" xfId="1" applyNumberFormat="1" applyFont="1" applyFill="1" applyBorder="1" applyProtection="1"/>
    <xf numFmtId="165" fontId="1" fillId="2" borderId="6" xfId="1" applyNumberFormat="1" applyFont="1" applyFill="1" applyBorder="1" applyAlignment="1" applyProtection="1">
      <alignment horizontal="right"/>
    </xf>
    <xf numFmtId="165" fontId="1" fillId="2" borderId="6" xfId="1" applyNumberFormat="1" applyFont="1" applyFill="1" applyBorder="1" applyProtection="1"/>
    <xf numFmtId="165" fontId="1" fillId="0" borderId="1" xfId="1" applyNumberFormat="1" applyFont="1" applyFill="1" applyBorder="1" applyAlignment="1" applyProtection="1">
      <alignment horizontal="right"/>
      <protection locked="0"/>
    </xf>
    <xf numFmtId="0" fontId="0" fillId="0" borderId="1" xfId="0" applyBorder="1" applyAlignment="1">
      <alignment wrapText="1"/>
    </xf>
    <xf numFmtId="43" fontId="4" fillId="0" borderId="1" xfId="1" applyFont="1" applyBorder="1" applyAlignment="1" applyProtection="1">
      <alignment wrapText="1"/>
    </xf>
    <xf numFmtId="0" fontId="1" fillId="0" borderId="1" xfId="0" applyFont="1" applyBorder="1" applyAlignment="1">
      <alignment horizontal="left" vertical="top" wrapText="1"/>
    </xf>
    <xf numFmtId="0" fontId="1" fillId="0" borderId="1" xfId="0" applyFont="1" applyBorder="1" applyAlignment="1">
      <alignment horizontal="right" vertical="top" wrapText="1"/>
    </xf>
    <xf numFmtId="0" fontId="0" fillId="0" borderId="1" xfId="0" applyBorder="1"/>
    <xf numFmtId="0" fontId="0" fillId="9" borderId="1" xfId="0" applyFill="1" applyBorder="1"/>
    <xf numFmtId="165" fontId="1" fillId="0" borderId="1" xfId="1" applyNumberFormat="1" applyFont="1" applyFill="1" applyBorder="1" applyProtection="1">
      <protection locked="0"/>
    </xf>
    <xf numFmtId="0" fontId="0" fillId="9" borderId="18" xfId="0" applyFill="1" applyBorder="1"/>
    <xf numFmtId="0" fontId="0" fillId="9" borderId="11" xfId="0" applyFill="1" applyBorder="1"/>
    <xf numFmtId="0" fontId="0" fillId="9" borderId="17" xfId="0" applyFill="1" applyBorder="1"/>
    <xf numFmtId="165" fontId="1" fillId="8" borderId="8" xfId="1" applyNumberFormat="1" applyFont="1" applyFill="1" applyBorder="1" applyProtection="1"/>
    <xf numFmtId="165" fontId="1" fillId="8" borderId="1" xfId="1" applyNumberFormat="1" applyFont="1" applyFill="1" applyBorder="1" applyAlignment="1" applyProtection="1">
      <alignment horizontal="right"/>
    </xf>
    <xf numFmtId="165" fontId="1" fillId="8" borderId="1" xfId="1" applyNumberFormat="1" applyFont="1" applyFill="1" applyBorder="1" applyAlignment="1" applyProtection="1"/>
    <xf numFmtId="165" fontId="1" fillId="8" borderId="1" xfId="1" applyNumberFormat="1" applyFont="1" applyFill="1" applyBorder="1" applyProtection="1"/>
    <xf numFmtId="165" fontId="0" fillId="0" borderId="0" xfId="0" applyNumberFormat="1"/>
    <xf numFmtId="165" fontId="1" fillId="0" borderId="1" xfId="1" applyNumberFormat="1" applyFont="1" applyBorder="1" applyProtection="1"/>
    <xf numFmtId="43" fontId="4" fillId="10" borderId="5" xfId="1" applyFont="1" applyFill="1" applyBorder="1" applyAlignment="1" applyProtection="1">
      <alignment horizontal="right" wrapText="1"/>
    </xf>
    <xf numFmtId="43" fontId="4" fillId="10" borderId="7" xfId="1" applyFont="1" applyFill="1" applyBorder="1" applyAlignment="1" applyProtection="1">
      <alignment horizontal="right" wrapText="1"/>
    </xf>
    <xf numFmtId="165" fontId="1" fillId="10" borderId="10" xfId="1" applyNumberFormat="1" applyFont="1" applyFill="1" applyBorder="1" applyProtection="1"/>
    <xf numFmtId="165" fontId="1" fillId="10" borderId="11" xfId="1" applyNumberFormat="1" applyFont="1" applyFill="1" applyBorder="1" applyProtection="1"/>
    <xf numFmtId="165" fontId="1" fillId="10" borderId="12" xfId="1" applyNumberFormat="1" applyFont="1" applyFill="1" applyBorder="1" applyProtection="1"/>
    <xf numFmtId="165" fontId="1" fillId="10" borderId="8" xfId="1" applyNumberFormat="1" applyFont="1" applyFill="1" applyBorder="1" applyProtection="1"/>
    <xf numFmtId="165" fontId="1" fillId="10" borderId="1" xfId="1" applyNumberFormat="1" applyFont="1" applyFill="1" applyBorder="1" applyAlignment="1" applyProtection="1">
      <alignment horizontal="right"/>
    </xf>
    <xf numFmtId="165" fontId="1" fillId="10" borderId="1" xfId="1" applyNumberFormat="1" applyFont="1" applyFill="1" applyBorder="1" applyProtection="1"/>
    <xf numFmtId="165" fontId="1" fillId="10" borderId="9" xfId="1" applyNumberFormat="1" applyFont="1" applyFill="1" applyBorder="1" applyProtection="1"/>
    <xf numFmtId="165" fontId="1" fillId="10" borderId="3" xfId="1" applyNumberFormat="1" applyFont="1" applyFill="1" applyBorder="1" applyProtection="1"/>
    <xf numFmtId="165" fontId="1" fillId="10" borderId="0" xfId="1" applyNumberFormat="1" applyFont="1" applyFill="1" applyBorder="1" applyProtection="1"/>
    <xf numFmtId="165" fontId="1" fillId="10" borderId="4" xfId="1" applyNumberFormat="1" applyFont="1" applyFill="1" applyBorder="1" applyProtection="1"/>
    <xf numFmtId="165" fontId="1" fillId="10" borderId="5" xfId="1" applyNumberFormat="1" applyFont="1" applyFill="1" applyBorder="1" applyAlignment="1" applyProtection="1">
      <alignment horizontal="right"/>
    </xf>
    <xf numFmtId="165" fontId="1" fillId="10" borderId="0" xfId="1" applyNumberFormat="1" applyFont="1" applyFill="1" applyBorder="1" applyAlignment="1" applyProtection="1">
      <alignment horizontal="right"/>
    </xf>
    <xf numFmtId="165" fontId="1" fillId="10" borderId="50" xfId="1" applyNumberFormat="1" applyFont="1" applyFill="1" applyBorder="1" applyProtection="1"/>
    <xf numFmtId="165" fontId="1" fillId="10" borderId="6" xfId="1" applyNumberFormat="1" applyFont="1" applyFill="1" applyBorder="1" applyProtection="1"/>
    <xf numFmtId="165" fontId="1" fillId="10" borderId="6" xfId="1" applyNumberFormat="1" applyFont="1" applyFill="1" applyBorder="1" applyAlignment="1" applyProtection="1">
      <alignment horizontal="right"/>
    </xf>
    <xf numFmtId="43" fontId="0" fillId="0" borderId="0" xfId="0" applyNumberFormat="1"/>
    <xf numFmtId="165" fontId="1" fillId="2" borderId="9" xfId="1" applyNumberFormat="1" applyFont="1" applyFill="1" applyBorder="1" applyAlignment="1" applyProtection="1"/>
    <xf numFmtId="165" fontId="1" fillId="10" borderId="0" xfId="1" applyNumberFormat="1" applyFont="1" applyFill="1" applyBorder="1" applyAlignment="1" applyProtection="1">
      <alignment horizontal="left"/>
    </xf>
    <xf numFmtId="165" fontId="4" fillId="0" borderId="1" xfId="1" applyNumberFormat="1" applyFont="1" applyBorder="1" applyAlignment="1" applyProtection="1">
      <alignment wrapText="1"/>
    </xf>
    <xf numFmtId="165" fontId="1" fillId="0" borderId="0" xfId="1" applyNumberFormat="1" applyFont="1" applyFill="1" applyProtection="1"/>
    <xf numFmtId="165" fontId="0" fillId="0" borderId="1" xfId="1" applyNumberFormat="1" applyFont="1" applyFill="1" applyBorder="1" applyProtection="1"/>
    <xf numFmtId="165" fontId="0" fillId="0" borderId="0" xfId="1" applyNumberFormat="1" applyFont="1" applyProtection="1"/>
    <xf numFmtId="165" fontId="1" fillId="8" borderId="0" xfId="1" applyNumberFormat="1" applyFont="1" applyFill="1" applyProtection="1"/>
    <xf numFmtId="165" fontId="1" fillId="10" borderId="49" xfId="1" applyNumberFormat="1" applyFont="1" applyFill="1" applyBorder="1" applyAlignment="1" applyProtection="1">
      <alignment horizontal="center"/>
    </xf>
    <xf numFmtId="165" fontId="1" fillId="10" borderId="61" xfId="1" applyNumberFormat="1" applyFont="1" applyFill="1" applyBorder="1" applyProtection="1"/>
    <xf numFmtId="165" fontId="1" fillId="10" borderId="62" xfId="1" applyNumberFormat="1" applyFont="1" applyFill="1" applyBorder="1" applyAlignment="1" applyProtection="1">
      <alignment horizontal="right"/>
    </xf>
    <xf numFmtId="165" fontId="1" fillId="10" borderId="62" xfId="1" applyNumberFormat="1" applyFont="1" applyFill="1" applyBorder="1" applyProtection="1"/>
    <xf numFmtId="165" fontId="1" fillId="10" borderId="19" xfId="1" applyNumberFormat="1" applyFont="1" applyFill="1" applyBorder="1" applyProtection="1"/>
    <xf numFmtId="165" fontId="1" fillId="10" borderId="20" xfId="1" applyNumberFormat="1" applyFont="1" applyFill="1" applyBorder="1" applyAlignment="1" applyProtection="1">
      <alignment horizontal="right"/>
    </xf>
    <xf numFmtId="165" fontId="1" fillId="10" borderId="63" xfId="1" applyNumberFormat="1" applyFont="1" applyFill="1" applyBorder="1" applyProtection="1"/>
    <xf numFmtId="165" fontId="1" fillId="10" borderId="64" xfId="1" applyNumberFormat="1" applyFont="1" applyFill="1" applyBorder="1" applyProtection="1"/>
    <xf numFmtId="165" fontId="1" fillId="10" borderId="65" xfId="1" applyNumberFormat="1" applyFont="1" applyFill="1" applyBorder="1" applyProtection="1"/>
    <xf numFmtId="165" fontId="1" fillId="10" borderId="66" xfId="1" applyNumberFormat="1" applyFont="1" applyFill="1" applyBorder="1" applyProtection="1"/>
    <xf numFmtId="165" fontId="4" fillId="0" borderId="0" xfId="1" applyNumberFormat="1" applyFont="1" applyBorder="1" applyAlignment="1" applyProtection="1">
      <alignment wrapText="1"/>
    </xf>
    <xf numFmtId="165" fontId="1" fillId="0" borderId="0" xfId="1" applyNumberFormat="1" applyFont="1" applyFill="1" applyBorder="1" applyAlignment="1" applyProtection="1">
      <alignment horizontal="right"/>
      <protection locked="0"/>
    </xf>
    <xf numFmtId="165" fontId="0" fillId="0" borderId="11" xfId="1" applyNumberFormat="1" applyFont="1" applyFill="1" applyBorder="1" applyProtection="1"/>
    <xf numFmtId="13" fontId="0" fillId="0" borderId="0" xfId="0" applyNumberFormat="1"/>
    <xf numFmtId="49" fontId="1" fillId="0" borderId="0" xfId="0" applyNumberFormat="1" applyFont="1"/>
    <xf numFmtId="0" fontId="0" fillId="7" borderId="0" xfId="0" applyFill="1"/>
    <xf numFmtId="43" fontId="1" fillId="0" borderId="0" xfId="1" applyFont="1" applyAlignment="1" applyProtection="1">
      <alignment horizontal="left" wrapText="1"/>
    </xf>
    <xf numFmtId="5" fontId="1" fillId="11" borderId="1" xfId="2" applyNumberFormat="1" applyFont="1" applyFill="1" applyBorder="1" applyAlignment="1">
      <alignment horizontal="center" vertical="top"/>
    </xf>
    <xf numFmtId="165" fontId="1" fillId="0" borderId="0" xfId="1" applyNumberFormat="1" applyFont="1" applyFill="1" applyBorder="1" applyAlignment="1" applyProtection="1">
      <alignment horizontal="left"/>
      <protection locked="0"/>
    </xf>
    <xf numFmtId="165" fontId="1" fillId="0" borderId="1" xfId="1" quotePrefix="1" applyNumberFormat="1" applyFont="1" applyFill="1" applyBorder="1" applyProtection="1"/>
    <xf numFmtId="49" fontId="1" fillId="12" borderId="0" xfId="0" applyNumberFormat="1" applyFont="1" applyFill="1" applyAlignment="1">
      <alignment horizontal="left" wrapText="1" indent="1"/>
    </xf>
    <xf numFmtId="165" fontId="1" fillId="12" borderId="0" xfId="1" applyNumberFormat="1" applyFont="1" applyFill="1" applyBorder="1" applyProtection="1"/>
    <xf numFmtId="165" fontId="1" fillId="12" borderId="0" xfId="1" applyNumberFormat="1" applyFont="1" applyFill="1" applyBorder="1" applyAlignment="1" applyProtection="1">
      <alignment horizontal="right"/>
    </xf>
    <xf numFmtId="165" fontId="0" fillId="12" borderId="0" xfId="1" applyNumberFormat="1" applyFont="1" applyFill="1" applyProtection="1"/>
    <xf numFmtId="0" fontId="0" fillId="12" borderId="0" xfId="0" applyFill="1"/>
    <xf numFmtId="165" fontId="1" fillId="0" borderId="0" xfId="1" applyNumberFormat="1" applyFont="1" applyFill="1" applyBorder="1" applyAlignment="1" applyProtection="1">
      <alignment horizontal="right"/>
    </xf>
    <xf numFmtId="0" fontId="1" fillId="3" borderId="20" xfId="0" applyFont="1" applyFill="1" applyBorder="1" applyAlignment="1">
      <alignment horizontal="left" wrapText="1"/>
    </xf>
    <xf numFmtId="43" fontId="1" fillId="2" borderId="9" xfId="1" applyFont="1" applyFill="1" applyBorder="1" applyProtection="1"/>
    <xf numFmtId="43" fontId="1" fillId="2" borderId="56" xfId="1" applyFont="1" applyFill="1" applyBorder="1" applyProtection="1"/>
    <xf numFmtId="43" fontId="1" fillId="2" borderId="16" xfId="1" applyFont="1" applyFill="1" applyBorder="1" applyProtection="1"/>
    <xf numFmtId="165" fontId="0" fillId="0" borderId="0" xfId="1" applyNumberFormat="1" applyFont="1"/>
    <xf numFmtId="6" fontId="1" fillId="2" borderId="58" xfId="1" applyNumberFormat="1" applyFont="1" applyFill="1" applyBorder="1" applyAlignment="1" applyProtection="1"/>
    <xf numFmtId="166" fontId="1" fillId="13" borderId="23" xfId="0" applyNumberFormat="1" applyFont="1" applyFill="1" applyBorder="1" applyAlignment="1">
      <alignment horizontal="center" wrapText="1"/>
    </xf>
    <xf numFmtId="166" fontId="1" fillId="13" borderId="24" xfId="0" applyNumberFormat="1" applyFont="1" applyFill="1" applyBorder="1" applyAlignment="1">
      <alignment horizontal="center" wrapText="1"/>
    </xf>
    <xf numFmtId="166" fontId="1" fillId="13" borderId="26" xfId="0" applyNumberFormat="1" applyFont="1" applyFill="1" applyBorder="1" applyAlignment="1">
      <alignment horizontal="center" wrapText="1"/>
    </xf>
    <xf numFmtId="166" fontId="1" fillId="13" borderId="27" xfId="0" applyNumberFormat="1" applyFont="1" applyFill="1" applyBorder="1" applyAlignment="1">
      <alignment horizontal="center" wrapText="1"/>
    </xf>
    <xf numFmtId="166" fontId="1" fillId="13" borderId="29" xfId="0" applyNumberFormat="1" applyFont="1" applyFill="1" applyBorder="1" applyAlignment="1">
      <alignment horizontal="center" wrapText="1"/>
    </xf>
    <xf numFmtId="166" fontId="1" fillId="13" borderId="30" xfId="0" applyNumberFormat="1" applyFont="1" applyFill="1" applyBorder="1" applyAlignment="1">
      <alignment horizontal="center" wrapText="1"/>
    </xf>
    <xf numFmtId="166" fontId="1" fillId="13" borderId="32" xfId="0" applyNumberFormat="1" applyFont="1" applyFill="1" applyBorder="1" applyAlignment="1">
      <alignment horizontal="center" wrapText="1"/>
    </xf>
    <xf numFmtId="166" fontId="1" fillId="13" borderId="33" xfId="0" applyNumberFormat="1" applyFont="1" applyFill="1" applyBorder="1" applyAlignment="1">
      <alignment horizontal="center" wrapText="1"/>
    </xf>
    <xf numFmtId="166" fontId="1" fillId="13" borderId="35" xfId="0" applyNumberFormat="1" applyFont="1" applyFill="1" applyBorder="1" applyAlignment="1">
      <alignment horizontal="center" wrapText="1"/>
    </xf>
    <xf numFmtId="166" fontId="1" fillId="13" borderId="36" xfId="0" applyNumberFormat="1" applyFont="1" applyFill="1" applyBorder="1" applyAlignment="1">
      <alignment horizontal="center" wrapText="1"/>
    </xf>
    <xf numFmtId="166" fontId="1" fillId="13" borderId="38" xfId="0" applyNumberFormat="1" applyFont="1" applyFill="1" applyBorder="1" applyAlignment="1">
      <alignment horizontal="center" wrapText="1"/>
    </xf>
    <xf numFmtId="166" fontId="1" fillId="13" borderId="39" xfId="0" applyNumberFormat="1" applyFont="1" applyFill="1" applyBorder="1" applyAlignment="1">
      <alignment horizontal="center" wrapText="1"/>
    </xf>
    <xf numFmtId="49" fontId="1" fillId="0" borderId="0" xfId="0" applyNumberFormat="1" applyFont="1" applyAlignment="1">
      <alignment horizontal="left" wrapText="1" indent="2"/>
    </xf>
    <xf numFmtId="165" fontId="10" fillId="0" borderId="0" xfId="1" applyNumberFormat="1" applyFont="1" applyFill="1" applyBorder="1" applyAlignment="1" applyProtection="1">
      <alignment horizontal="right" vertical="center"/>
    </xf>
    <xf numFmtId="166" fontId="9" fillId="0" borderId="0" xfId="2" applyNumberFormat="1" applyFont="1" applyFill="1" applyBorder="1" applyProtection="1"/>
    <xf numFmtId="165" fontId="13" fillId="0" borderId="0" xfId="1" applyNumberFormat="1" applyFont="1" applyBorder="1" applyAlignment="1" applyProtection="1">
      <alignment horizontal="right"/>
    </xf>
    <xf numFmtId="165" fontId="13" fillId="0" borderId="0" xfId="1" applyNumberFormat="1" applyFont="1" applyFill="1" applyBorder="1" applyAlignment="1" applyProtection="1">
      <alignment horizontal="right"/>
    </xf>
    <xf numFmtId="165" fontId="14" fillId="0" borderId="0" xfId="1" applyNumberFormat="1" applyFont="1" applyBorder="1" applyProtection="1"/>
    <xf numFmtId="49" fontId="9" fillId="0" borderId="0" xfId="1" applyNumberFormat="1" applyFont="1" applyBorder="1" applyAlignment="1" applyProtection="1">
      <alignment horizontal="right" wrapText="1"/>
    </xf>
    <xf numFmtId="49" fontId="13" fillId="0" borderId="0" xfId="1" applyNumberFormat="1" applyFont="1" applyBorder="1" applyAlignment="1" applyProtection="1">
      <alignment wrapText="1"/>
    </xf>
    <xf numFmtId="0" fontId="9" fillId="0" borderId="0" xfId="1" applyNumberFormat="1" applyFont="1" applyBorder="1" applyAlignment="1" applyProtection="1">
      <alignment horizontal="right" vertical="center"/>
    </xf>
    <xf numFmtId="166" fontId="9" fillId="0" borderId="0" xfId="2" applyNumberFormat="1" applyFont="1" applyFill="1" applyBorder="1" applyAlignment="1" applyProtection="1">
      <alignment horizontal="right"/>
    </xf>
    <xf numFmtId="165" fontId="15" fillId="0" borderId="0" xfId="1" applyNumberFormat="1" applyFont="1" applyFill="1" applyBorder="1" applyAlignment="1" applyProtection="1">
      <alignment horizontal="right"/>
    </xf>
    <xf numFmtId="49" fontId="11" fillId="0" borderId="0" xfId="1" applyNumberFormat="1" applyFont="1" applyBorder="1" applyAlignment="1" applyProtection="1">
      <alignment vertical="top" wrapText="1"/>
    </xf>
    <xf numFmtId="0" fontId="16" fillId="0" borderId="0" xfId="0" applyFont="1" applyAlignment="1">
      <alignment horizontal="left" vertical="center"/>
    </xf>
    <xf numFmtId="0" fontId="17" fillId="0" borderId="0" xfId="0" applyFont="1" applyAlignment="1">
      <alignment vertical="center"/>
    </xf>
    <xf numFmtId="0" fontId="18" fillId="0" borderId="0" xfId="0" applyFont="1" applyAlignment="1">
      <alignment vertical="center"/>
    </xf>
    <xf numFmtId="0" fontId="19" fillId="0" borderId="0" xfId="0" applyFont="1" applyAlignment="1">
      <alignment horizontal="left" vertical="center"/>
    </xf>
    <xf numFmtId="0" fontId="20" fillId="0" borderId="0" xfId="0" applyFont="1" applyAlignment="1">
      <alignment vertical="center"/>
    </xf>
    <xf numFmtId="0" fontId="21" fillId="0" borderId="0" xfId="0" applyFont="1" applyAlignment="1">
      <alignment vertical="center"/>
    </xf>
    <xf numFmtId="0" fontId="22" fillId="0" borderId="0" xfId="0" applyFont="1" applyAlignment="1">
      <alignment horizontal="left" vertical="center"/>
    </xf>
    <xf numFmtId="0" fontId="24" fillId="0" borderId="0" xfId="0" applyFont="1" applyAlignment="1">
      <alignment wrapText="1"/>
    </xf>
    <xf numFmtId="0" fontId="26" fillId="0" borderId="0" xfId="0" applyFont="1" applyAlignment="1">
      <alignment vertical="top"/>
    </xf>
    <xf numFmtId="0" fontId="20" fillId="0" borderId="0" xfId="0" applyFont="1" applyAlignment="1">
      <alignment horizontal="left" vertical="top" wrapText="1"/>
    </xf>
    <xf numFmtId="0" fontId="22" fillId="0" borderId="0" xfId="0" applyFont="1" applyAlignment="1">
      <alignment horizontal="left" vertical="top" wrapText="1"/>
    </xf>
    <xf numFmtId="0" fontId="18" fillId="0" borderId="0" xfId="0" applyFont="1"/>
    <xf numFmtId="0" fontId="17" fillId="0" borderId="0" xfId="0" applyFont="1"/>
    <xf numFmtId="0" fontId="20" fillId="0" borderId="0" xfId="0" applyFont="1"/>
    <xf numFmtId="0" fontId="22" fillId="0" borderId="0" xfId="0" applyFont="1" applyAlignment="1">
      <alignment vertical="top"/>
    </xf>
    <xf numFmtId="43" fontId="20" fillId="0" borderId="0" xfId="1" applyFont="1" applyFill="1" applyBorder="1" applyAlignment="1" applyProtection="1">
      <alignment horizontal="center" wrapText="1"/>
    </xf>
    <xf numFmtId="164" fontId="20" fillId="0" borderId="49" xfId="2" applyNumberFormat="1" applyFont="1" applyFill="1" applyBorder="1" applyAlignment="1" applyProtection="1">
      <alignment horizontal="center"/>
      <protection locked="0"/>
    </xf>
    <xf numFmtId="43" fontId="18" fillId="0" borderId="0" xfId="1" applyFont="1" applyProtection="1"/>
    <xf numFmtId="43" fontId="34" fillId="0" borderId="0" xfId="1" applyFont="1" applyFill="1" applyBorder="1" applyAlignment="1" applyProtection="1">
      <alignment horizontal="center"/>
    </xf>
    <xf numFmtId="0" fontId="20" fillId="0" borderId="0" xfId="0" applyFont="1" applyAlignment="1">
      <alignment horizontal="left" vertical="center" wrapText="1"/>
    </xf>
    <xf numFmtId="0" fontId="22" fillId="0" borderId="0" xfId="0" applyFont="1"/>
    <xf numFmtId="0" fontId="22" fillId="0" borderId="0" xfId="0" applyFont="1" applyAlignment="1">
      <alignment horizontal="right" vertical="top"/>
    </xf>
    <xf numFmtId="0" fontId="20" fillId="0" borderId="0" xfId="0" applyFont="1" applyAlignment="1">
      <alignment horizontal="center"/>
    </xf>
    <xf numFmtId="0" fontId="30" fillId="0" borderId="0" xfId="0" applyFont="1" applyAlignment="1">
      <alignment vertical="top"/>
    </xf>
    <xf numFmtId="0" fontId="17" fillId="0" borderId="0" xfId="0" applyFont="1" applyAlignment="1">
      <alignment wrapText="1"/>
    </xf>
    <xf numFmtId="0" fontId="22" fillId="0" borderId="0" xfId="0" applyFont="1" applyAlignment="1">
      <alignment vertical="center"/>
    </xf>
    <xf numFmtId="0" fontId="16" fillId="0" borderId="0" xfId="0" applyFont="1" applyAlignment="1">
      <alignment vertical="center"/>
    </xf>
    <xf numFmtId="49" fontId="13" fillId="0" borderId="0" xfId="1" applyNumberFormat="1" applyFont="1" applyBorder="1" applyAlignment="1" applyProtection="1">
      <alignment vertical="center"/>
    </xf>
    <xf numFmtId="49" fontId="9" fillId="0" borderId="0" xfId="1" applyNumberFormat="1" applyFont="1" applyBorder="1" applyAlignment="1" applyProtection="1">
      <alignment vertical="center"/>
    </xf>
    <xf numFmtId="0" fontId="24" fillId="0" borderId="0" xfId="0" applyFont="1" applyAlignment="1">
      <alignment horizontal="left" vertical="top"/>
    </xf>
    <xf numFmtId="0" fontId="17" fillId="0" borderId="0" xfId="0" applyFont="1" applyAlignment="1">
      <alignment horizontal="right"/>
    </xf>
    <xf numFmtId="43" fontId="38" fillId="0" borderId="0" xfId="1" applyFont="1" applyBorder="1" applyAlignment="1" applyProtection="1">
      <alignment horizontal="center" wrapText="1"/>
    </xf>
    <xf numFmtId="43" fontId="18" fillId="0" borderId="0" xfId="1" applyFont="1" applyBorder="1" applyProtection="1"/>
    <xf numFmtId="0" fontId="19" fillId="0" borderId="0" xfId="0" applyFont="1" applyAlignment="1">
      <alignment vertical="center"/>
    </xf>
    <xf numFmtId="0" fontId="24" fillId="0" borderId="0" xfId="0" applyFont="1" applyAlignment="1">
      <alignment horizontal="left" vertical="top" wrapText="1"/>
    </xf>
    <xf numFmtId="0" fontId="25" fillId="0" borderId="0" xfId="0" applyFont="1" applyAlignment="1">
      <alignment wrapText="1"/>
    </xf>
    <xf numFmtId="0" fontId="22" fillId="0" borderId="0" xfId="0" applyFont="1" applyAlignment="1">
      <alignment horizontal="center" vertical="top" wrapText="1"/>
    </xf>
    <xf numFmtId="0" fontId="26" fillId="0" borderId="0" xfId="0" applyFont="1" applyAlignment="1">
      <alignment horizontal="left" vertical="top" wrapText="1"/>
    </xf>
    <xf numFmtId="0" fontId="29" fillId="0" borderId="0" xfId="0" applyFont="1" applyAlignment="1">
      <alignment wrapText="1"/>
    </xf>
    <xf numFmtId="0" fontId="30" fillId="0" borderId="0" xfId="0" applyFont="1" applyAlignment="1">
      <alignment wrapText="1"/>
    </xf>
    <xf numFmtId="0" fontId="20" fillId="0" borderId="0" xfId="0" applyFont="1" applyAlignment="1">
      <alignment vertical="top"/>
    </xf>
    <xf numFmtId="0" fontId="27" fillId="0" borderId="0" xfId="0" applyFont="1" applyAlignment="1">
      <alignment horizontal="left" vertical="top" wrapText="1"/>
    </xf>
    <xf numFmtId="0" fontId="28" fillId="0" borderId="0" xfId="0" applyFont="1" applyAlignment="1">
      <alignment horizontal="right"/>
    </xf>
    <xf numFmtId="0" fontId="31" fillId="0" borderId="0" xfId="0" applyFont="1" applyAlignment="1">
      <alignment horizontal="right" vertical="top"/>
    </xf>
    <xf numFmtId="0" fontId="20" fillId="0" borderId="0" xfId="0" applyFont="1" applyAlignment="1">
      <alignment horizontal="left" wrapText="1"/>
    </xf>
    <xf numFmtId="0" fontId="20" fillId="0" borderId="0" xfId="0" applyFont="1" applyAlignment="1">
      <alignment wrapText="1"/>
    </xf>
    <xf numFmtId="164" fontId="20" fillId="0" borderId="0" xfId="2" applyNumberFormat="1" applyFont="1" applyFill="1" applyBorder="1" applyAlignment="1" applyProtection="1">
      <alignment horizontal="center"/>
    </xf>
    <xf numFmtId="43" fontId="33" fillId="0" borderId="0" xfId="1" applyFont="1" applyFill="1" applyBorder="1" applyAlignment="1" applyProtection="1">
      <alignment horizontal="left" wrapText="1"/>
    </xf>
    <xf numFmtId="43" fontId="33" fillId="0" borderId="0" xfId="1" applyFont="1" applyFill="1" applyBorder="1" applyAlignment="1" applyProtection="1">
      <alignment horizontal="center" wrapText="1"/>
    </xf>
    <xf numFmtId="43" fontId="33" fillId="0" borderId="0" xfId="1" applyFont="1" applyFill="1" applyBorder="1" applyAlignment="1" applyProtection="1">
      <alignment wrapText="1"/>
    </xf>
    <xf numFmtId="0" fontId="26" fillId="9" borderId="0" xfId="0" applyFont="1" applyFill="1" applyAlignment="1">
      <alignment vertical="top"/>
    </xf>
    <xf numFmtId="0" fontId="20" fillId="9" borderId="0" xfId="0" applyFont="1" applyFill="1" applyAlignment="1">
      <alignment horizontal="left" vertical="top" wrapText="1"/>
    </xf>
    <xf numFmtId="0" fontId="17" fillId="9" borderId="0" xfId="0" applyFont="1" applyFill="1"/>
    <xf numFmtId="0" fontId="22" fillId="9" borderId="0" xfId="0" applyFont="1" applyFill="1" applyAlignment="1">
      <alignment horizontal="left" vertical="top" wrapText="1"/>
    </xf>
    <xf numFmtId="0" fontId="22" fillId="9" borderId="0" xfId="0" applyFont="1" applyFill="1" applyAlignment="1">
      <alignment horizontal="center" vertical="top" wrapText="1"/>
    </xf>
    <xf numFmtId="0" fontId="35" fillId="0" borderId="0" xfId="0" applyFont="1" applyAlignment="1">
      <alignment wrapText="1"/>
    </xf>
    <xf numFmtId="0" fontId="35" fillId="0" borderId="0" xfId="0" applyFont="1" applyAlignment="1">
      <alignment horizontal="left" vertical="top" wrapText="1"/>
    </xf>
    <xf numFmtId="164" fontId="35" fillId="0" borderId="0" xfId="0" applyNumberFormat="1" applyFont="1" applyAlignment="1">
      <alignment vertical="top" wrapText="1"/>
    </xf>
    <xf numFmtId="0" fontId="8" fillId="0" borderId="0" xfId="0" applyFont="1" applyAlignment="1">
      <alignment vertical="center"/>
    </xf>
    <xf numFmtId="49" fontId="13" fillId="0" borderId="0" xfId="0" applyNumberFormat="1" applyFont="1" applyAlignment="1">
      <alignment wrapText="1"/>
    </xf>
    <xf numFmtId="49" fontId="13" fillId="0" borderId="0" xfId="0" applyNumberFormat="1" applyFont="1" applyAlignment="1">
      <alignment horizontal="right"/>
    </xf>
    <xf numFmtId="49" fontId="13" fillId="0" borderId="0" xfId="0" applyNumberFormat="1" applyFont="1" applyAlignment="1">
      <alignment vertical="center" wrapText="1"/>
    </xf>
    <xf numFmtId="49" fontId="13" fillId="0" borderId="0" xfId="0" applyNumberFormat="1" applyFont="1" applyAlignment="1">
      <alignment horizontal="right" vertical="center"/>
    </xf>
    <xf numFmtId="49" fontId="9" fillId="0" borderId="0" xfId="0" applyNumberFormat="1" applyFont="1" applyAlignment="1">
      <alignment horizontal="right" wrapText="1"/>
    </xf>
    <xf numFmtId="49" fontId="9" fillId="0" borderId="0" xfId="0" applyNumberFormat="1" applyFont="1" applyAlignment="1">
      <alignment horizontal="right" vertical="center"/>
    </xf>
    <xf numFmtId="0" fontId="30" fillId="0" borderId="0" xfId="0" applyFont="1"/>
    <xf numFmtId="0" fontId="24" fillId="0" borderId="0" xfId="0" applyFont="1" applyAlignment="1">
      <alignment horizontal="right" vertical="center"/>
    </xf>
    <xf numFmtId="49" fontId="20" fillId="0" borderId="0" xfId="0" applyNumberFormat="1" applyFont="1" applyAlignment="1">
      <alignment vertical="top" wrapText="1"/>
    </xf>
    <xf numFmtId="0" fontId="37" fillId="0" borderId="0" xfId="0" applyFont="1" applyAlignment="1">
      <alignment horizontal="right" wrapText="1"/>
    </xf>
    <xf numFmtId="0" fontId="21" fillId="0" borderId="0" xfId="0" applyFont="1" applyAlignment="1">
      <alignment horizontal="center" wrapText="1"/>
    </xf>
    <xf numFmtId="0" fontId="18" fillId="0" borderId="0" xfId="0" applyFont="1" applyAlignment="1">
      <alignment vertical="top"/>
    </xf>
    <xf numFmtId="0" fontId="17" fillId="0" borderId="0" xfId="0" applyFont="1" applyAlignment="1">
      <alignment vertical="top"/>
    </xf>
    <xf numFmtId="166" fontId="20" fillId="0" borderId="0" xfId="0" applyNumberFormat="1" applyFont="1"/>
    <xf numFmtId="0" fontId="22" fillId="0" borderId="0" xfId="0" applyFont="1" applyAlignment="1" applyProtection="1">
      <alignment horizontal="center" vertical="top" wrapText="1"/>
      <protection locked="0"/>
    </xf>
    <xf numFmtId="43" fontId="38" fillId="0" borderId="0" xfId="1" applyFont="1" applyBorder="1" applyAlignment="1" applyProtection="1">
      <alignment horizontal="center" wrapText="1"/>
      <protection locked="0"/>
    </xf>
    <xf numFmtId="5" fontId="20" fillId="0" borderId="0" xfId="2" applyNumberFormat="1" applyFont="1" applyFill="1" applyBorder="1" applyAlignment="1" applyProtection="1">
      <alignment horizontal="right" vertical="center"/>
    </xf>
    <xf numFmtId="0" fontId="22" fillId="0" borderId="0" xfId="0" applyFont="1" applyAlignment="1">
      <alignment horizontal="left" vertical="center" wrapText="1"/>
    </xf>
    <xf numFmtId="49" fontId="12" fillId="0" borderId="0" xfId="0" applyNumberFormat="1" applyFont="1" applyAlignment="1">
      <alignment horizontal="center" vertical="top" wrapText="1"/>
    </xf>
    <xf numFmtId="168" fontId="17" fillId="0" borderId="0" xfId="0" applyNumberFormat="1" applyFont="1" applyAlignment="1" applyProtection="1">
      <alignment wrapText="1"/>
      <protection locked="0"/>
    </xf>
    <xf numFmtId="0" fontId="24" fillId="0" borderId="0" xfId="0" applyFont="1" applyAlignment="1">
      <alignment horizontal="right" vertical="top"/>
    </xf>
    <xf numFmtId="0" fontId="22" fillId="0" borderId="0" xfId="0" applyFont="1" applyAlignment="1">
      <alignment vertical="top" wrapText="1"/>
    </xf>
    <xf numFmtId="0" fontId="16" fillId="0" borderId="0" xfId="0" applyFont="1" applyAlignment="1">
      <alignment horizontal="left" vertical="top" wrapText="1"/>
    </xf>
    <xf numFmtId="49" fontId="45" fillId="0" borderId="0" xfId="1" applyNumberFormat="1" applyFont="1" applyBorder="1" applyAlignment="1" applyProtection="1">
      <alignment vertical="top" wrapText="1"/>
    </xf>
    <xf numFmtId="43" fontId="46" fillId="0" borderId="0" xfId="1" applyFont="1" applyFill="1" applyBorder="1" applyAlignment="1" applyProtection="1">
      <alignment horizontal="center" vertical="top" wrapText="1"/>
    </xf>
    <xf numFmtId="43" fontId="46" fillId="0" borderId="0" xfId="1" applyFont="1" applyFill="1" applyBorder="1" applyAlignment="1" applyProtection="1">
      <alignment horizontal="center" wrapText="1"/>
    </xf>
    <xf numFmtId="49" fontId="38" fillId="0" borderId="0" xfId="1" applyNumberFormat="1" applyFont="1" applyBorder="1" applyAlignment="1" applyProtection="1">
      <alignment wrapText="1"/>
    </xf>
    <xf numFmtId="49" fontId="38" fillId="0" borderId="0" xfId="1" applyNumberFormat="1" applyFont="1" applyBorder="1" applyAlignment="1" applyProtection="1">
      <alignment horizontal="right"/>
    </xf>
    <xf numFmtId="5" fontId="38" fillId="0" borderId="0" xfId="1" applyNumberFormat="1" applyFont="1" applyBorder="1" applyProtection="1"/>
    <xf numFmtId="49" fontId="38" fillId="0" borderId="0" xfId="1" applyNumberFormat="1" applyFont="1" applyBorder="1" applyAlignment="1" applyProtection="1">
      <alignment vertical="center" wrapText="1"/>
    </xf>
    <xf numFmtId="49" fontId="38" fillId="0" borderId="0" xfId="1" applyNumberFormat="1" applyFont="1" applyBorder="1" applyAlignment="1" applyProtection="1">
      <alignment horizontal="right" vertical="center"/>
    </xf>
    <xf numFmtId="165" fontId="34" fillId="0" borderId="0" xfId="1" applyNumberFormat="1" applyFont="1" applyFill="1" applyBorder="1" applyAlignment="1" applyProtection="1">
      <alignment horizontal="right"/>
    </xf>
    <xf numFmtId="49" fontId="26" fillId="0" borderId="0" xfId="1" applyNumberFormat="1" applyFont="1" applyBorder="1" applyAlignment="1" applyProtection="1">
      <alignment vertical="center" wrapText="1"/>
    </xf>
    <xf numFmtId="49" fontId="26" fillId="0" borderId="0" xfId="1" applyNumberFormat="1" applyFont="1" applyBorder="1" applyAlignment="1" applyProtection="1">
      <alignment horizontal="right" vertical="center"/>
    </xf>
    <xf numFmtId="165" fontId="46" fillId="0" borderId="0" xfId="1" applyNumberFormat="1" applyFont="1" applyFill="1" applyBorder="1" applyAlignment="1" applyProtection="1">
      <alignment vertical="center"/>
    </xf>
    <xf numFmtId="0" fontId="26" fillId="0" borderId="0" xfId="1" applyNumberFormat="1" applyFont="1" applyBorder="1" applyAlignment="1" applyProtection="1">
      <alignment horizontal="right" vertical="center"/>
    </xf>
    <xf numFmtId="165" fontId="46" fillId="0" borderId="0" xfId="1" applyNumberFormat="1" applyFont="1" applyFill="1" applyBorder="1" applyAlignment="1" applyProtection="1">
      <alignment horizontal="right" vertical="center"/>
    </xf>
    <xf numFmtId="49" fontId="26" fillId="0" borderId="0" xfId="1" applyNumberFormat="1" applyFont="1" applyBorder="1" applyAlignment="1" applyProtection="1">
      <alignment horizontal="right" wrapText="1"/>
    </xf>
    <xf numFmtId="166" fontId="26" fillId="0" borderId="0" xfId="2" applyNumberFormat="1" applyFont="1" applyFill="1" applyBorder="1" applyAlignment="1" applyProtection="1">
      <alignment horizontal="right"/>
    </xf>
    <xf numFmtId="166" fontId="26" fillId="0" borderId="0" xfId="2" applyNumberFormat="1" applyFont="1" applyFill="1" applyBorder="1" applyProtection="1"/>
    <xf numFmtId="165" fontId="38" fillId="0" borderId="0" xfId="1" applyNumberFormat="1" applyFont="1" applyBorder="1" applyAlignment="1" applyProtection="1">
      <alignment horizontal="right"/>
    </xf>
    <xf numFmtId="165" fontId="38" fillId="0" borderId="0" xfId="1" applyNumberFormat="1" applyFont="1" applyFill="1" applyBorder="1" applyAlignment="1" applyProtection="1">
      <alignment horizontal="right"/>
    </xf>
    <xf numFmtId="165" fontId="34" fillId="0" borderId="0" xfId="1" applyNumberFormat="1" applyFont="1" applyBorder="1" applyProtection="1"/>
    <xf numFmtId="165" fontId="46" fillId="0" borderId="0" xfId="1" applyNumberFormat="1" applyFont="1" applyFill="1" applyBorder="1" applyProtection="1"/>
    <xf numFmtId="165" fontId="48" fillId="0" borderId="0" xfId="1" applyNumberFormat="1" applyFont="1" applyFill="1" applyBorder="1" applyAlignment="1" applyProtection="1">
      <alignment horizontal="right"/>
    </xf>
    <xf numFmtId="165" fontId="48" fillId="0" borderId="0" xfId="1" applyNumberFormat="1" applyFont="1" applyFill="1" applyBorder="1" applyProtection="1"/>
    <xf numFmtId="49" fontId="22" fillId="0" borderId="0" xfId="0" applyNumberFormat="1" applyFont="1" applyAlignment="1">
      <alignment horizontal="center" vertical="center"/>
    </xf>
    <xf numFmtId="42" fontId="48" fillId="0" borderId="0" xfId="2" applyNumberFormat="1" applyFont="1" applyFill="1" applyBorder="1" applyAlignment="1" applyProtection="1">
      <alignment vertical="center"/>
    </xf>
    <xf numFmtId="49" fontId="20" fillId="0" borderId="0" xfId="1" applyNumberFormat="1" applyFont="1" applyBorder="1" applyAlignment="1" applyProtection="1">
      <alignment horizontal="left" vertical="top" wrapText="1"/>
    </xf>
    <xf numFmtId="43" fontId="49" fillId="0" borderId="0" xfId="1" applyFont="1" applyBorder="1" applyAlignment="1" applyProtection="1">
      <alignment horizontal="right" vertical="top" wrapText="1"/>
    </xf>
    <xf numFmtId="166" fontId="22" fillId="0" borderId="0" xfId="2" applyNumberFormat="1" applyFont="1" applyFill="1" applyBorder="1" applyAlignment="1" applyProtection="1">
      <alignment vertical="center"/>
    </xf>
    <xf numFmtId="0" fontId="50" fillId="0" borderId="0" xfId="0" applyFont="1" applyAlignment="1">
      <alignment vertical="top" wrapText="1"/>
    </xf>
    <xf numFmtId="0" fontId="50" fillId="0" borderId="0" xfId="0" applyFont="1" applyAlignment="1">
      <alignment horizontal="center" vertical="top" wrapText="1"/>
    </xf>
    <xf numFmtId="0" fontId="30" fillId="15" borderId="0" xfId="0" applyFont="1" applyFill="1" applyAlignment="1">
      <alignment vertical="top"/>
    </xf>
    <xf numFmtId="0" fontId="17" fillId="15" borderId="0" xfId="0" applyFont="1" applyFill="1" applyAlignment="1">
      <alignment horizontal="right" wrapText="1"/>
    </xf>
    <xf numFmtId="165" fontId="17" fillId="15" borderId="0" xfId="0" applyNumberFormat="1" applyFont="1" applyFill="1"/>
    <xf numFmtId="0" fontId="17" fillId="15" borderId="0" xfId="0" applyFont="1" applyFill="1"/>
    <xf numFmtId="165" fontId="17" fillId="15" borderId="0" xfId="1" applyNumberFormat="1" applyFont="1" applyFill="1" applyBorder="1" applyProtection="1"/>
    <xf numFmtId="5" fontId="51" fillId="15" borderId="0" xfId="0" applyNumberFormat="1" applyFont="1" applyFill="1"/>
    <xf numFmtId="167" fontId="17" fillId="15" borderId="67" xfId="0" applyNumberFormat="1" applyFont="1" applyFill="1" applyBorder="1"/>
    <xf numFmtId="165" fontId="30" fillId="15" borderId="0" xfId="1" applyNumberFormat="1" applyFont="1" applyFill="1" applyAlignment="1" applyProtection="1">
      <alignment vertical="top"/>
    </xf>
    <xf numFmtId="165" fontId="17" fillId="15" borderId="0" xfId="1" applyNumberFormat="1" applyFont="1" applyFill="1" applyAlignment="1" applyProtection="1">
      <alignment horizontal="right" wrapText="1"/>
    </xf>
    <xf numFmtId="165" fontId="17" fillId="15" borderId="68" xfId="1" applyNumberFormat="1" applyFont="1" applyFill="1" applyBorder="1" applyProtection="1"/>
    <xf numFmtId="165" fontId="17" fillId="15" borderId="68" xfId="1" applyNumberFormat="1" applyFont="1" applyFill="1" applyBorder="1" applyAlignment="1" applyProtection="1">
      <alignment horizontal="right"/>
    </xf>
    <xf numFmtId="165" fontId="17" fillId="15" borderId="0" xfId="1" applyNumberFormat="1" applyFont="1" applyFill="1" applyProtection="1"/>
    <xf numFmtId="0" fontId="17" fillId="15" borderId="0" xfId="0" applyFont="1" applyFill="1" applyAlignment="1">
      <alignment wrapText="1"/>
    </xf>
    <xf numFmtId="43" fontId="17" fillId="15" borderId="0" xfId="0" applyNumberFormat="1" applyFont="1" applyFill="1"/>
    <xf numFmtId="43" fontId="17" fillId="15" borderId="0" xfId="0" applyNumberFormat="1" applyFont="1" applyFill="1" applyAlignment="1">
      <alignment horizontal="right"/>
    </xf>
    <xf numFmtId="0" fontId="30" fillId="14" borderId="0" xfId="0" applyFont="1" applyFill="1" applyAlignment="1">
      <alignment vertical="top"/>
    </xf>
    <xf numFmtId="0" fontId="17" fillId="14" borderId="0" xfId="0" applyFont="1" applyFill="1" applyAlignment="1">
      <alignment horizontal="right" wrapText="1"/>
    </xf>
    <xf numFmtId="165" fontId="17" fillId="14" borderId="0" xfId="0" applyNumberFormat="1" applyFont="1" applyFill="1"/>
    <xf numFmtId="0" fontId="17" fillId="14" borderId="0" xfId="0" applyFont="1" applyFill="1"/>
    <xf numFmtId="165" fontId="17" fillId="14" borderId="0" xfId="1" applyNumberFormat="1" applyFont="1" applyFill="1" applyBorder="1" applyProtection="1"/>
    <xf numFmtId="5" fontId="51" fillId="14" borderId="0" xfId="0" applyNumberFormat="1" applyFont="1" applyFill="1"/>
    <xf numFmtId="167" fontId="17" fillId="14" borderId="67" xfId="0" applyNumberFormat="1" applyFont="1" applyFill="1" applyBorder="1"/>
    <xf numFmtId="165" fontId="30" fillId="14" borderId="0" xfId="1" applyNumberFormat="1" applyFont="1" applyFill="1" applyAlignment="1" applyProtection="1">
      <alignment vertical="top"/>
    </xf>
    <xf numFmtId="165" fontId="17" fillId="14" borderId="0" xfId="1" applyNumberFormat="1" applyFont="1" applyFill="1" applyAlignment="1" applyProtection="1">
      <alignment horizontal="right" wrapText="1"/>
    </xf>
    <xf numFmtId="165" fontId="17" fillId="14" borderId="68" xfId="1" applyNumberFormat="1" applyFont="1" applyFill="1" applyBorder="1" applyProtection="1"/>
    <xf numFmtId="165" fontId="17" fillId="14" borderId="68" xfId="1" applyNumberFormat="1" applyFont="1" applyFill="1" applyBorder="1" applyAlignment="1" applyProtection="1">
      <alignment horizontal="right"/>
    </xf>
    <xf numFmtId="165" fontId="17" fillId="14" borderId="0" xfId="1" applyNumberFormat="1" applyFont="1" applyFill="1" applyProtection="1"/>
    <xf numFmtId="165" fontId="17" fillId="14" borderId="0" xfId="1" applyNumberFormat="1" applyFont="1" applyFill="1" applyBorder="1" applyAlignment="1" applyProtection="1">
      <alignment horizontal="right"/>
    </xf>
    <xf numFmtId="0" fontId="17" fillId="0" borderId="0" xfId="0" applyFont="1" applyAlignment="1">
      <alignment horizontal="right" wrapText="1"/>
    </xf>
    <xf numFmtId="165" fontId="30" fillId="11" borderId="0" xfId="1" applyNumberFormat="1" applyFont="1" applyFill="1" applyAlignment="1" applyProtection="1">
      <alignment vertical="top"/>
    </xf>
    <xf numFmtId="165" fontId="17" fillId="11" borderId="0" xfId="1" applyNumberFormat="1" applyFont="1" applyFill="1" applyAlignment="1" applyProtection="1">
      <alignment horizontal="right" wrapText="1"/>
    </xf>
    <xf numFmtId="165" fontId="17" fillId="11" borderId="67" xfId="1" applyNumberFormat="1" applyFont="1" applyFill="1" applyBorder="1" applyProtection="1"/>
    <xf numFmtId="165" fontId="17" fillId="11" borderId="67" xfId="1" applyNumberFormat="1" applyFont="1" applyFill="1" applyBorder="1" applyAlignment="1" applyProtection="1">
      <alignment horizontal="right"/>
    </xf>
    <xf numFmtId="165" fontId="17" fillId="11" borderId="0" xfId="1" applyNumberFormat="1" applyFont="1" applyFill="1" applyProtection="1"/>
    <xf numFmtId="0" fontId="30" fillId="11" borderId="0" xfId="0" applyFont="1" applyFill="1" applyAlignment="1">
      <alignment vertical="top"/>
    </xf>
    <xf numFmtId="0" fontId="17" fillId="11" borderId="0" xfId="0" applyFont="1" applyFill="1" applyAlignment="1">
      <alignment wrapText="1"/>
    </xf>
    <xf numFmtId="43" fontId="17" fillId="11" borderId="0" xfId="0" applyNumberFormat="1" applyFont="1" applyFill="1"/>
    <xf numFmtId="43" fontId="17" fillId="11" borderId="0" xfId="0" applyNumberFormat="1" applyFont="1" applyFill="1" applyAlignment="1">
      <alignment horizontal="right"/>
    </xf>
    <xf numFmtId="0" fontId="17" fillId="11" borderId="0" xfId="0" applyFont="1" applyFill="1"/>
    <xf numFmtId="0" fontId="17" fillId="11" borderId="0" xfId="0" applyFont="1" applyFill="1" applyAlignment="1">
      <alignment horizontal="right" wrapText="1"/>
    </xf>
    <xf numFmtId="0" fontId="18" fillId="11" borderId="0" xfId="0" applyFont="1" applyFill="1"/>
    <xf numFmtId="165" fontId="18" fillId="11" borderId="0" xfId="0" applyNumberFormat="1" applyFont="1" applyFill="1"/>
    <xf numFmtId="0" fontId="20" fillId="0" borderId="49" xfId="0" applyFont="1" applyBorder="1" applyAlignment="1" applyProtection="1">
      <alignment horizontal="center" vertical="center"/>
      <protection locked="0"/>
    </xf>
    <xf numFmtId="43" fontId="38" fillId="0" borderId="0" xfId="1" applyFont="1" applyBorder="1" applyAlignment="1" applyProtection="1">
      <alignment horizontal="center" vertical="center" wrapText="1"/>
    </xf>
    <xf numFmtId="0" fontId="22" fillId="0" borderId="0" xfId="0" applyFont="1" applyAlignment="1" applyProtection="1">
      <alignment horizontal="center" vertical="center" wrapText="1"/>
      <protection locked="0"/>
    </xf>
    <xf numFmtId="43" fontId="38" fillId="0" borderId="0" xfId="1" applyFont="1" applyBorder="1" applyAlignment="1" applyProtection="1">
      <alignment horizontal="center" vertical="center" wrapText="1"/>
      <protection locked="0"/>
    </xf>
    <xf numFmtId="164" fontId="20" fillId="0" borderId="0" xfId="0" applyNumberFormat="1" applyFont="1" applyAlignment="1">
      <alignment vertical="center"/>
    </xf>
    <xf numFmtId="164" fontId="20" fillId="0" borderId="0" xfId="0" applyNumberFormat="1" applyFont="1" applyAlignment="1">
      <alignment vertical="center" wrapText="1"/>
    </xf>
    <xf numFmtId="164" fontId="22" fillId="0" borderId="0" xfId="0" applyNumberFormat="1" applyFont="1" applyAlignment="1">
      <alignment vertical="center" wrapText="1"/>
    </xf>
    <xf numFmtId="0" fontId="22" fillId="0" borderId="0" xfId="0" applyFont="1" applyAlignment="1">
      <alignment wrapText="1"/>
    </xf>
    <xf numFmtId="164" fontId="22" fillId="0" borderId="0" xfId="0" applyNumberFormat="1" applyFont="1" applyAlignment="1">
      <alignment vertical="top" wrapText="1"/>
    </xf>
    <xf numFmtId="164" fontId="20" fillId="0" borderId="0" xfId="0" applyNumberFormat="1" applyFont="1" applyAlignment="1">
      <alignment vertical="top" wrapText="1"/>
    </xf>
    <xf numFmtId="43" fontId="38" fillId="0" borderId="0" xfId="1" applyFont="1" applyFill="1" applyBorder="1" applyAlignment="1" applyProtection="1">
      <alignment horizontal="center" vertical="center" wrapText="1"/>
    </xf>
    <xf numFmtId="43" fontId="38" fillId="0" borderId="0" xfId="1" applyFont="1" applyFill="1" applyBorder="1" applyAlignment="1" applyProtection="1">
      <alignment horizontal="center" vertical="center" wrapText="1"/>
      <protection locked="0"/>
    </xf>
    <xf numFmtId="0" fontId="20" fillId="0" borderId="0" xfId="0" applyFont="1" applyAlignment="1">
      <alignment horizontal="left"/>
    </xf>
    <xf numFmtId="0" fontId="42" fillId="0" borderId="0" xfId="0" applyFont="1" applyAlignment="1">
      <alignment horizontal="left" vertical="top" wrapText="1"/>
    </xf>
    <xf numFmtId="0" fontId="20" fillId="0" borderId="0" xfId="0" applyFont="1" applyAlignment="1">
      <alignment vertical="top" wrapText="1"/>
    </xf>
    <xf numFmtId="43" fontId="44" fillId="0" borderId="0" xfId="1" applyFont="1" applyBorder="1" applyAlignment="1">
      <alignment vertical="top" wrapText="1"/>
    </xf>
    <xf numFmtId="0" fontId="23" fillId="0" borderId="0" xfId="0" applyFont="1" applyAlignment="1">
      <alignment horizontal="left" vertical="top"/>
    </xf>
    <xf numFmtId="0" fontId="36" fillId="0" borderId="0" xfId="0" applyFont="1" applyAlignment="1">
      <alignment vertical="top" wrapText="1"/>
    </xf>
    <xf numFmtId="166" fontId="36" fillId="0" borderId="0" xfId="0" applyNumberFormat="1" applyFont="1" applyAlignment="1">
      <alignment horizontal="right" vertical="top" wrapText="1"/>
    </xf>
    <xf numFmtId="43" fontId="47" fillId="0" borderId="0" xfId="1" applyFont="1" applyFill="1" applyBorder="1" applyAlignment="1" applyProtection="1">
      <alignment horizontal="center" vertical="top" wrapText="1"/>
    </xf>
    <xf numFmtId="49" fontId="44" fillId="0" borderId="0" xfId="1" applyNumberFormat="1" applyFont="1" applyBorder="1" applyAlignment="1" applyProtection="1">
      <alignment horizontal="right" vertical="center"/>
    </xf>
    <xf numFmtId="5" fontId="20" fillId="0" borderId="0" xfId="1" applyNumberFormat="1" applyFont="1" applyBorder="1" applyProtection="1"/>
    <xf numFmtId="5" fontId="20" fillId="0" borderId="0" xfId="1" applyNumberFormat="1" applyFont="1" applyFill="1" applyBorder="1" applyAlignment="1" applyProtection="1">
      <alignment horizontal="right"/>
    </xf>
    <xf numFmtId="49" fontId="22" fillId="0" borderId="0" xfId="1" applyNumberFormat="1" applyFont="1" applyBorder="1" applyAlignment="1" applyProtection="1">
      <alignment horizontal="center" vertical="center"/>
    </xf>
    <xf numFmtId="166" fontId="22" fillId="0" borderId="0" xfId="2" applyNumberFormat="1" applyFont="1" applyFill="1" applyBorder="1" applyProtection="1"/>
    <xf numFmtId="49" fontId="20" fillId="0" borderId="0" xfId="0" applyNumberFormat="1" applyFont="1" applyAlignment="1">
      <alignment horizontal="center" vertical="center"/>
    </xf>
    <xf numFmtId="49" fontId="38" fillId="0" borderId="0" xfId="0" applyNumberFormat="1" applyFont="1" applyAlignment="1">
      <alignment wrapText="1"/>
    </xf>
    <xf numFmtId="49" fontId="38" fillId="0" borderId="0" xfId="0" applyNumberFormat="1" applyFont="1" applyAlignment="1">
      <alignment horizontal="right"/>
    </xf>
    <xf numFmtId="166" fontId="20" fillId="0" borderId="0" xfId="2" applyNumberFormat="1" applyFont="1" applyFill="1" applyBorder="1" applyAlignment="1" applyProtection="1">
      <alignment horizontal="right"/>
    </xf>
    <xf numFmtId="49" fontId="38" fillId="0" borderId="0" xfId="0" applyNumberFormat="1" applyFont="1" applyAlignment="1">
      <alignment vertical="center" wrapText="1"/>
    </xf>
    <xf numFmtId="49" fontId="38" fillId="0" borderId="0" xfId="0" applyNumberFormat="1" applyFont="1" applyAlignment="1">
      <alignment horizontal="right" vertical="center"/>
    </xf>
    <xf numFmtId="3" fontId="20" fillId="0" borderId="0" xfId="1" applyNumberFormat="1" applyFont="1" applyFill="1" applyBorder="1" applyProtection="1"/>
    <xf numFmtId="49" fontId="26" fillId="0" borderId="0" xfId="0" applyNumberFormat="1" applyFont="1" applyAlignment="1">
      <alignment horizontal="right" wrapText="1"/>
    </xf>
    <xf numFmtId="49" fontId="26" fillId="0" borderId="0" xfId="0" applyNumberFormat="1" applyFont="1" applyAlignment="1">
      <alignment horizontal="right" vertical="center"/>
    </xf>
    <xf numFmtId="42" fontId="48" fillId="0" borderId="0" xfId="0" applyNumberFormat="1" applyFont="1" applyAlignment="1">
      <alignment vertical="top"/>
    </xf>
    <xf numFmtId="0" fontId="20" fillId="0" borderId="0" xfId="0" applyFont="1" applyAlignment="1">
      <alignment horizontal="left" vertical="center"/>
    </xf>
    <xf numFmtId="0" fontId="20" fillId="0" borderId="0" xfId="0" applyFont="1" applyAlignment="1">
      <alignment vertical="center" wrapText="1"/>
    </xf>
    <xf numFmtId="0" fontId="53" fillId="0" borderId="0" xfId="0" applyFont="1" applyAlignment="1">
      <alignment vertical="top"/>
    </xf>
    <xf numFmtId="0" fontId="54" fillId="0" borderId="0" xfId="0" applyFont="1"/>
    <xf numFmtId="0" fontId="54" fillId="0" borderId="0" xfId="0" applyFont="1" applyAlignment="1">
      <alignment vertical="center"/>
    </xf>
    <xf numFmtId="0" fontId="55" fillId="0" borderId="0" xfId="0" applyFont="1" applyAlignment="1">
      <alignment vertical="center"/>
    </xf>
    <xf numFmtId="0" fontId="56" fillId="0" borderId="0" xfId="0" applyFont="1" applyAlignment="1">
      <alignment horizontal="left" vertical="top" wrapText="1"/>
    </xf>
    <xf numFmtId="0" fontId="56" fillId="0" borderId="0" xfId="0" applyFont="1" applyAlignment="1">
      <alignment wrapText="1"/>
    </xf>
    <xf numFmtId="0" fontId="57" fillId="0" borderId="0" xfId="0" applyFont="1" applyAlignment="1">
      <alignment horizontal="left" vertical="top" wrapText="1"/>
    </xf>
    <xf numFmtId="0" fontId="58" fillId="0" borderId="0" xfId="0" applyFont="1" applyAlignment="1">
      <alignment horizontal="left" vertical="top" wrapText="1"/>
    </xf>
    <xf numFmtId="0" fontId="53" fillId="0" borderId="0" xfId="0" applyFont="1" applyAlignment="1">
      <alignment wrapText="1"/>
    </xf>
    <xf numFmtId="44" fontId="55" fillId="0" borderId="0" xfId="2" applyFont="1" applyFill="1" applyBorder="1" applyAlignment="1" applyProtection="1">
      <alignment horizontal="left" wrapText="1"/>
    </xf>
    <xf numFmtId="44" fontId="55" fillId="0" borderId="0" xfId="2" applyFont="1" applyFill="1" applyBorder="1" applyAlignment="1" applyProtection="1">
      <alignment horizontal="left"/>
    </xf>
    <xf numFmtId="0" fontId="53" fillId="0" borderId="0" xfId="0" applyFont="1" applyAlignment="1">
      <alignment horizontal="right" wrapText="1"/>
    </xf>
    <xf numFmtId="44" fontId="55" fillId="0" borderId="0" xfId="2" applyFont="1" applyFill="1" applyBorder="1" applyProtection="1"/>
    <xf numFmtId="164" fontId="55" fillId="0" borderId="0" xfId="2" applyNumberFormat="1" applyFont="1" applyFill="1" applyBorder="1" applyAlignment="1" applyProtection="1">
      <alignment horizontal="right"/>
    </xf>
    <xf numFmtId="43" fontId="55" fillId="0" borderId="0" xfId="1" applyFont="1" applyFill="1" applyBorder="1" applyAlignment="1" applyProtection="1">
      <alignment horizontal="right" wrapText="1"/>
    </xf>
    <xf numFmtId="0" fontId="54" fillId="0" borderId="0" xfId="0" applyFont="1" applyAlignment="1">
      <alignment wrapText="1"/>
    </xf>
    <xf numFmtId="43" fontId="54" fillId="0" borderId="0" xfId="1" applyFont="1" applyProtection="1"/>
    <xf numFmtId="43" fontId="54" fillId="0" borderId="0" xfId="0" applyNumberFormat="1" applyFont="1"/>
    <xf numFmtId="164" fontId="55" fillId="0" borderId="0" xfId="0" applyNumberFormat="1" applyFont="1" applyAlignment="1">
      <alignment horizontal="left" vertical="top" wrapText="1"/>
    </xf>
    <xf numFmtId="0" fontId="57" fillId="0" borderId="0" xfId="0" applyFont="1" applyAlignment="1">
      <alignment wrapText="1"/>
    </xf>
    <xf numFmtId="164" fontId="59" fillId="0" borderId="0" xfId="0" applyNumberFormat="1" applyFont="1" applyAlignment="1">
      <alignment horizontal="left" vertical="top" wrapText="1"/>
    </xf>
    <xf numFmtId="164" fontId="60" fillId="0" borderId="0" xfId="0" applyNumberFormat="1" applyFont="1" applyAlignment="1">
      <alignment vertical="center" wrapText="1"/>
    </xf>
    <xf numFmtId="0" fontId="55" fillId="0" borderId="0" xfId="0" applyFont="1"/>
    <xf numFmtId="0" fontId="57" fillId="0" borderId="0" xfId="0" applyFont="1"/>
    <xf numFmtId="0" fontId="53" fillId="0" borderId="0" xfId="0" applyFont="1"/>
    <xf numFmtId="165" fontId="61" fillId="0" borderId="0" xfId="1" applyNumberFormat="1" applyFont="1" applyFill="1" applyBorder="1" applyAlignment="1" applyProtection="1">
      <alignment horizontal="right" vertical="center"/>
    </xf>
    <xf numFmtId="166" fontId="62" fillId="0" borderId="0" xfId="2" applyNumberFormat="1" applyFont="1" applyFill="1" applyBorder="1" applyProtection="1"/>
    <xf numFmtId="165" fontId="63" fillId="0" borderId="0" xfId="1" applyNumberFormat="1" applyFont="1" applyBorder="1" applyAlignment="1" applyProtection="1">
      <alignment horizontal="right"/>
    </xf>
    <xf numFmtId="165" fontId="64" fillId="0" borderId="0" xfId="1" applyNumberFormat="1" applyFont="1" applyBorder="1" applyProtection="1"/>
    <xf numFmtId="0" fontId="24" fillId="0" borderId="0" xfId="0" applyFont="1" applyAlignment="1">
      <alignment vertical="center" wrapText="1"/>
    </xf>
    <xf numFmtId="0" fontId="17" fillId="0" borderId="0" xfId="0" applyFont="1" applyAlignment="1">
      <alignment horizontal="right" vertical="center"/>
    </xf>
    <xf numFmtId="168" fontId="17" fillId="0" borderId="0" xfId="0" applyNumberFormat="1" applyFont="1" applyAlignment="1">
      <alignment vertical="center" wrapText="1"/>
    </xf>
    <xf numFmtId="0" fontId="32" fillId="0" borderId="0" xfId="0" applyFont="1" applyAlignment="1">
      <alignment vertical="center" wrapText="1"/>
    </xf>
    <xf numFmtId="0" fontId="32" fillId="0" borderId="0" xfId="0" applyFont="1" applyAlignment="1">
      <alignment horizontal="right" vertical="center" wrapText="1"/>
    </xf>
    <xf numFmtId="164" fontId="20" fillId="0" borderId="70" xfId="2" applyNumberFormat="1" applyFont="1" applyFill="1" applyBorder="1" applyAlignment="1" applyProtection="1">
      <alignment horizontal="center"/>
      <protection locked="0"/>
    </xf>
    <xf numFmtId="164" fontId="20" fillId="0" borderId="71" xfId="2" applyNumberFormat="1" applyFont="1" applyFill="1" applyBorder="1" applyAlignment="1" applyProtection="1">
      <alignment horizontal="center"/>
      <protection locked="0"/>
    </xf>
    <xf numFmtId="164" fontId="20" fillId="0" borderId="63" xfId="2" applyNumberFormat="1" applyFont="1" applyFill="1" applyBorder="1" applyAlignment="1" applyProtection="1">
      <alignment horizontal="center"/>
      <protection locked="0"/>
    </xf>
    <xf numFmtId="0" fontId="23" fillId="0" borderId="0" xfId="0" applyFont="1" applyAlignment="1">
      <alignment horizontal="left" vertical="center" wrapText="1"/>
    </xf>
    <xf numFmtId="0" fontId="23" fillId="16" borderId="0" xfId="0" applyFont="1" applyFill="1" applyAlignment="1">
      <alignment horizontal="left" vertical="center" wrapText="1"/>
    </xf>
    <xf numFmtId="164" fontId="39" fillId="0" borderId="0" xfId="1" applyNumberFormat="1" applyFont="1" applyFill="1" applyBorder="1" applyAlignment="1" applyProtection="1">
      <alignment horizontal="right"/>
    </xf>
    <xf numFmtId="43" fontId="33" fillId="0" borderId="0" xfId="1" applyFont="1" applyFill="1" applyBorder="1" applyAlignment="1" applyProtection="1">
      <alignment horizontal="center" wrapText="1"/>
    </xf>
    <xf numFmtId="0" fontId="20" fillId="0" borderId="0" xfId="0" applyFont="1" applyAlignment="1">
      <alignment horizontal="left" vertical="center" wrapText="1"/>
    </xf>
    <xf numFmtId="49" fontId="39" fillId="0" borderId="0" xfId="0" applyNumberFormat="1" applyFont="1" applyAlignment="1">
      <alignment horizontal="left" vertical="top" wrapText="1"/>
    </xf>
    <xf numFmtId="0" fontId="20" fillId="0" borderId="0" xfId="0" applyFont="1" applyAlignment="1">
      <alignment horizontal="center" vertical="center" wrapText="1"/>
    </xf>
    <xf numFmtId="0" fontId="20" fillId="0" borderId="0" xfId="0" applyFont="1" applyAlignment="1">
      <alignment horizontal="left" vertical="top" wrapText="1"/>
    </xf>
    <xf numFmtId="44" fontId="20" fillId="0" borderId="70" xfId="2" applyFont="1" applyFill="1" applyBorder="1" applyAlignment="1" applyProtection="1">
      <alignment horizontal="center"/>
      <protection locked="0"/>
    </xf>
    <xf numFmtId="44" fontId="20" fillId="0" borderId="71" xfId="2" applyFont="1" applyFill="1" applyBorder="1" applyAlignment="1" applyProtection="1">
      <alignment horizontal="center"/>
      <protection locked="0"/>
    </xf>
    <xf numFmtId="44" fontId="20" fillId="0" borderId="63" xfId="2" applyFont="1" applyFill="1" applyBorder="1" applyAlignment="1" applyProtection="1">
      <alignment horizontal="center"/>
      <protection locked="0"/>
    </xf>
    <xf numFmtId="0" fontId="20" fillId="0" borderId="0" xfId="0" applyFont="1" applyAlignment="1">
      <alignment horizontal="left"/>
    </xf>
    <xf numFmtId="0" fontId="16" fillId="0" borderId="0" xfId="0" applyFont="1" applyAlignment="1">
      <alignment horizontal="left" vertical="center"/>
    </xf>
    <xf numFmtId="0" fontId="19" fillId="0" borderId="0" xfId="0" applyFont="1" applyAlignment="1">
      <alignment horizontal="left" vertical="center"/>
    </xf>
    <xf numFmtId="0" fontId="22" fillId="0" borderId="0" xfId="0" applyFont="1" applyAlignment="1">
      <alignment horizontal="left" vertical="center"/>
    </xf>
    <xf numFmtId="166" fontId="20" fillId="0" borderId="70" xfId="2" applyNumberFormat="1" applyFont="1" applyFill="1" applyBorder="1" applyAlignment="1" applyProtection="1">
      <alignment horizontal="center"/>
      <protection locked="0"/>
    </xf>
    <xf numFmtId="166" fontId="20" fillId="0" borderId="71" xfId="2" applyNumberFormat="1" applyFont="1" applyFill="1" applyBorder="1" applyAlignment="1" applyProtection="1">
      <alignment horizontal="center"/>
      <protection locked="0"/>
    </xf>
    <xf numFmtId="166" fontId="20" fillId="0" borderId="63" xfId="2" applyNumberFormat="1" applyFont="1" applyFill="1" applyBorder="1" applyAlignment="1" applyProtection="1">
      <alignment horizontal="center"/>
      <protection locked="0"/>
    </xf>
    <xf numFmtId="49" fontId="20" fillId="0" borderId="70" xfId="2" applyNumberFormat="1" applyFont="1" applyFill="1" applyBorder="1" applyAlignment="1" applyProtection="1">
      <alignment horizontal="center" wrapText="1"/>
      <protection locked="0"/>
    </xf>
    <xf numFmtId="49" fontId="20" fillId="0" borderId="71" xfId="2" applyNumberFormat="1" applyFont="1" applyFill="1" applyBorder="1" applyAlignment="1" applyProtection="1">
      <alignment horizontal="center" wrapText="1"/>
      <protection locked="0"/>
    </xf>
    <xf numFmtId="49" fontId="20" fillId="0" borderId="63" xfId="2" applyNumberFormat="1" applyFont="1" applyFill="1" applyBorder="1" applyAlignment="1" applyProtection="1">
      <alignment horizontal="center" wrapText="1"/>
      <protection locked="0"/>
    </xf>
    <xf numFmtId="0" fontId="20" fillId="0" borderId="0" xfId="0" applyFont="1" applyAlignment="1">
      <alignment horizontal="left" wrapText="1"/>
    </xf>
    <xf numFmtId="49" fontId="9" fillId="0" borderId="0" xfId="0" applyNumberFormat="1" applyFont="1" applyAlignment="1">
      <alignment horizontal="right" vertical="center" wrapText="1"/>
    </xf>
    <xf numFmtId="0" fontId="17" fillId="0" borderId="0" xfId="0" applyFont="1" applyAlignment="1">
      <alignment horizontal="center" vertical="center" wrapText="1"/>
    </xf>
    <xf numFmtId="0" fontId="17" fillId="0" borderId="0" xfId="0" applyFont="1" applyAlignment="1">
      <alignment horizontal="center" vertical="center"/>
    </xf>
    <xf numFmtId="0" fontId="32" fillId="0" borderId="0" xfId="0" applyFont="1" applyAlignment="1">
      <alignment horizontal="left" vertical="center" wrapText="1"/>
    </xf>
    <xf numFmtId="0" fontId="22" fillId="0" borderId="0" xfId="0" applyFont="1" applyAlignment="1">
      <alignment horizontal="left" vertical="center" wrapText="1"/>
    </xf>
    <xf numFmtId="0" fontId="22" fillId="16" borderId="0" xfId="0" applyFont="1" applyFill="1" applyAlignment="1">
      <alignment horizontal="left" vertical="center" wrapText="1"/>
    </xf>
    <xf numFmtId="49" fontId="20" fillId="0" borderId="70" xfId="0" applyNumberFormat="1" applyFont="1" applyBorder="1" applyAlignment="1" applyProtection="1">
      <alignment horizontal="left" vertical="center" wrapText="1"/>
      <protection locked="0"/>
    </xf>
    <xf numFmtId="49" fontId="20" fillId="0" borderId="71" xfId="0" applyNumberFormat="1" applyFont="1" applyBorder="1" applyAlignment="1" applyProtection="1">
      <alignment horizontal="left" vertical="center" wrapText="1"/>
      <protection locked="0"/>
    </xf>
    <xf numFmtId="49" fontId="20" fillId="0" borderId="63" xfId="0" applyNumberFormat="1" applyFont="1" applyBorder="1" applyAlignment="1" applyProtection="1">
      <alignment horizontal="left" vertical="center" wrapText="1"/>
      <protection locked="0"/>
    </xf>
    <xf numFmtId="168" fontId="17" fillId="0" borderId="0" xfId="0" applyNumberFormat="1" applyFont="1" applyAlignment="1">
      <alignment horizontal="left" vertical="center" wrapText="1"/>
    </xf>
    <xf numFmtId="49" fontId="40" fillId="0" borderId="0" xfId="0" applyNumberFormat="1" applyFont="1" applyAlignment="1">
      <alignment horizontal="left" vertical="top" wrapText="1"/>
    </xf>
    <xf numFmtId="49" fontId="26" fillId="0" borderId="0" xfId="0" applyNumberFormat="1" applyFont="1" applyAlignment="1">
      <alignment horizontal="right" vertical="center" wrapText="1"/>
    </xf>
    <xf numFmtId="49" fontId="20" fillId="0" borderId="0" xfId="1" applyNumberFormat="1" applyFont="1" applyBorder="1" applyAlignment="1" applyProtection="1">
      <alignment horizontal="left" vertical="top" wrapText="1"/>
    </xf>
    <xf numFmtId="0" fontId="23" fillId="16" borderId="0" xfId="0" applyFont="1" applyFill="1" applyAlignment="1">
      <alignment horizontal="left" vertical="top" wrapText="1"/>
    </xf>
    <xf numFmtId="43" fontId="43" fillId="0" borderId="0" xfId="1" applyFont="1" applyFill="1" applyBorder="1" applyAlignment="1">
      <alignment horizontal="center" wrapText="1"/>
    </xf>
    <xf numFmtId="166" fontId="20" fillId="0" borderId="0" xfId="0" applyNumberFormat="1" applyFont="1" applyAlignment="1">
      <alignment horizontal="center" vertical="center" wrapText="1"/>
    </xf>
    <xf numFmtId="0" fontId="20" fillId="0" borderId="70" xfId="0" applyFont="1" applyBorder="1" applyAlignment="1" applyProtection="1">
      <alignment horizontal="left" vertical="center" wrapText="1"/>
      <protection locked="0"/>
    </xf>
    <xf numFmtId="0" fontId="20" fillId="0" borderId="71" xfId="0" applyFont="1" applyBorder="1" applyAlignment="1" applyProtection="1">
      <alignment horizontal="left" vertical="center" wrapText="1"/>
      <protection locked="0"/>
    </xf>
    <xf numFmtId="0" fontId="20" fillId="0" borderId="63" xfId="0" applyFont="1" applyBorder="1" applyAlignment="1" applyProtection="1">
      <alignment horizontal="left" vertical="center" wrapText="1"/>
      <protection locked="0"/>
    </xf>
    <xf numFmtId="168" fontId="17" fillId="0" borderId="0" xfId="0" applyNumberFormat="1" applyFont="1" applyAlignment="1">
      <alignment horizontal="center" vertical="center" wrapText="1"/>
    </xf>
    <xf numFmtId="49" fontId="22" fillId="0" borderId="0" xfId="0" applyNumberFormat="1" applyFont="1" applyAlignment="1">
      <alignment horizontal="center" vertical="center"/>
    </xf>
    <xf numFmtId="49" fontId="22" fillId="0" borderId="0" xfId="1" applyNumberFormat="1" applyFont="1" applyBorder="1" applyAlignment="1" applyProtection="1">
      <alignment horizontal="center" vertical="center"/>
    </xf>
    <xf numFmtId="168" fontId="17" fillId="0" borderId="0" xfId="0" applyNumberFormat="1" applyFont="1" applyAlignment="1" applyProtection="1">
      <alignment horizontal="left" wrapText="1"/>
      <protection locked="0"/>
    </xf>
    <xf numFmtId="0" fontId="24" fillId="0" borderId="0" xfId="0" applyFont="1" applyAlignment="1">
      <alignment horizontal="right" vertical="center"/>
    </xf>
    <xf numFmtId="43" fontId="20" fillId="0" borderId="70" xfId="1" applyFont="1" applyFill="1" applyBorder="1" applyAlignment="1" applyProtection="1">
      <alignment horizontal="left" vertical="center" wrapText="1"/>
      <protection locked="0"/>
    </xf>
    <xf numFmtId="43" fontId="20" fillId="0" borderId="71" xfId="1" applyFont="1" applyFill="1" applyBorder="1" applyAlignment="1" applyProtection="1">
      <alignment horizontal="left" vertical="center" wrapText="1"/>
      <protection locked="0"/>
    </xf>
    <xf numFmtId="43" fontId="20" fillId="0" borderId="63" xfId="1" applyFont="1" applyFill="1" applyBorder="1" applyAlignment="1" applyProtection="1">
      <alignment horizontal="left" vertical="center" wrapText="1"/>
      <protection locked="0"/>
    </xf>
    <xf numFmtId="43" fontId="4" fillId="10" borderId="4" xfId="1" applyFont="1" applyFill="1" applyBorder="1" applyAlignment="1" applyProtection="1">
      <alignment horizontal="center"/>
    </xf>
    <xf numFmtId="43" fontId="4" fillId="10" borderId="5" xfId="1" applyFont="1" applyFill="1" applyBorder="1" applyAlignment="1" applyProtection="1">
      <alignment horizontal="center"/>
    </xf>
    <xf numFmtId="165" fontId="1" fillId="10" borderId="9" xfId="1" applyNumberFormat="1" applyFont="1" applyFill="1" applyBorder="1" applyAlignment="1" applyProtection="1">
      <alignment horizontal="center"/>
    </xf>
    <xf numFmtId="165" fontId="1" fillId="10" borderId="53" xfId="1" applyNumberFormat="1" applyFont="1" applyFill="1" applyBorder="1" applyAlignment="1" applyProtection="1">
      <alignment horizontal="center"/>
    </xf>
    <xf numFmtId="165" fontId="1" fillId="10" borderId="54" xfId="1" applyNumberFormat="1" applyFont="1" applyFill="1" applyBorder="1" applyAlignment="1" applyProtection="1">
      <alignment horizontal="center"/>
    </xf>
    <xf numFmtId="165" fontId="1" fillId="10" borderId="57" xfId="1" applyNumberFormat="1" applyFont="1" applyFill="1" applyBorder="1" applyAlignment="1" applyProtection="1">
      <alignment horizontal="center"/>
    </xf>
    <xf numFmtId="165" fontId="1" fillId="10" borderId="58" xfId="1" applyNumberFormat="1" applyFont="1" applyFill="1" applyBorder="1" applyAlignment="1" applyProtection="1">
      <alignment horizontal="center"/>
    </xf>
    <xf numFmtId="165" fontId="1" fillId="10" borderId="60" xfId="1" applyNumberFormat="1" applyFont="1" applyFill="1" applyBorder="1" applyAlignment="1" applyProtection="1">
      <alignment horizontal="center"/>
    </xf>
    <xf numFmtId="165" fontId="1" fillId="10" borderId="59" xfId="1" applyNumberFormat="1" applyFont="1" applyFill="1" applyBorder="1" applyAlignment="1" applyProtection="1">
      <alignment horizontal="center"/>
    </xf>
    <xf numFmtId="165" fontId="1" fillId="2" borderId="58" xfId="1" applyNumberFormat="1" applyFont="1" applyFill="1" applyBorder="1" applyAlignment="1" applyProtection="1">
      <alignment horizontal="center"/>
    </xf>
    <xf numFmtId="165" fontId="1" fillId="2" borderId="59" xfId="1" applyNumberFormat="1" applyFont="1" applyFill="1" applyBorder="1" applyAlignment="1" applyProtection="1">
      <alignment horizontal="center"/>
    </xf>
    <xf numFmtId="43" fontId="4" fillId="2" borderId="53" xfId="1" applyFont="1" applyFill="1" applyBorder="1" applyAlignment="1" applyProtection="1">
      <alignment horizontal="center"/>
    </xf>
    <xf numFmtId="43" fontId="4" fillId="2" borderId="54" xfId="1" applyFont="1" applyFill="1" applyBorder="1" applyAlignment="1" applyProtection="1">
      <alignment horizontal="center"/>
    </xf>
    <xf numFmtId="165" fontId="1" fillId="2" borderId="60" xfId="1" applyNumberFormat="1" applyFont="1" applyFill="1" applyBorder="1" applyAlignment="1" applyProtection="1">
      <alignment horizontal="center"/>
    </xf>
    <xf numFmtId="165" fontId="1" fillId="2" borderId="69" xfId="1" applyNumberFormat="1" applyFont="1" applyFill="1" applyBorder="1" applyAlignment="1" applyProtection="1">
      <alignment horizontal="center"/>
    </xf>
    <xf numFmtId="165" fontId="1" fillId="2" borderId="53" xfId="1" applyNumberFormat="1" applyFont="1" applyFill="1" applyBorder="1" applyAlignment="1" applyProtection="1">
      <alignment horizontal="center"/>
    </xf>
    <xf numFmtId="165" fontId="1" fillId="2" borderId="54" xfId="1" applyNumberFormat="1" applyFont="1" applyFill="1" applyBorder="1" applyAlignment="1" applyProtection="1">
      <alignment horizontal="center"/>
    </xf>
    <xf numFmtId="165" fontId="1" fillId="2" borderId="57" xfId="1" applyNumberFormat="1" applyFont="1" applyFill="1" applyBorder="1" applyAlignment="1" applyProtection="1">
      <alignment horizontal="center"/>
    </xf>
    <xf numFmtId="43" fontId="4" fillId="2" borderId="4" xfId="1" applyFont="1" applyFill="1" applyBorder="1" applyAlignment="1" applyProtection="1">
      <alignment horizontal="center"/>
    </xf>
    <xf numFmtId="43" fontId="4" fillId="2" borderId="5" xfId="1" applyFont="1" applyFill="1" applyBorder="1" applyAlignment="1" applyProtection="1">
      <alignment horizontal="center"/>
    </xf>
    <xf numFmtId="43" fontId="1" fillId="2" borderId="9" xfId="1" applyFont="1" applyFill="1" applyBorder="1" applyAlignment="1" applyProtection="1">
      <alignment horizontal="center"/>
    </xf>
    <xf numFmtId="6" fontId="1" fillId="2" borderId="60" xfId="1" applyNumberFormat="1" applyFont="1" applyFill="1" applyBorder="1" applyAlignment="1" applyProtection="1">
      <alignment horizontal="right"/>
    </xf>
    <xf numFmtId="43" fontId="1" fillId="2" borderId="59" xfId="1" applyFont="1" applyFill="1" applyBorder="1" applyAlignment="1" applyProtection="1">
      <alignment horizontal="right"/>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1" fillId="0" borderId="17" xfId="0" applyFont="1" applyBorder="1" applyAlignment="1">
      <alignment horizontal="left" vertical="top" wrapText="1"/>
    </xf>
    <xf numFmtId="0" fontId="3" fillId="0" borderId="46" xfId="0" applyFont="1" applyBorder="1" applyAlignment="1">
      <alignment horizontal="center" vertical="center" textRotation="90"/>
    </xf>
    <xf numFmtId="0" fontId="3" fillId="0" borderId="47" xfId="0" applyFont="1" applyBorder="1" applyAlignment="1">
      <alignment horizontal="center" vertical="center" textRotation="90"/>
    </xf>
    <xf numFmtId="0" fontId="3" fillId="0" borderId="48" xfId="0" applyFont="1" applyBorder="1" applyAlignment="1">
      <alignment horizontal="center" vertical="center" textRotation="90"/>
    </xf>
    <xf numFmtId="0" fontId="3" fillId="0" borderId="49" xfId="0" applyFont="1" applyBorder="1" applyAlignment="1">
      <alignment horizontal="center" vertical="center" textRotation="90"/>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165" fontId="1" fillId="0" borderId="0" xfId="0" applyNumberFormat="1" applyFont="1" applyAlignment="1">
      <alignment horizontal="left" vertical="top" wrapText="1"/>
    </xf>
    <xf numFmtId="165" fontId="1" fillId="0" borderId="0" xfId="1" applyNumberFormat="1" applyFont="1" applyFill="1" applyAlignment="1" applyProtection="1">
      <alignment wrapText="1"/>
    </xf>
  </cellXfs>
  <cellStyles count="3">
    <cellStyle name="Comma" xfId="1" builtinId="3"/>
    <cellStyle name="Currency" xfId="2" builtinId="4"/>
    <cellStyle name="Normal" xfId="0" builtinId="0"/>
  </cellStyles>
  <dxfs count="5">
    <dxf>
      <font>
        <u val="none"/>
      </font>
    </dxf>
    <dxf>
      <font>
        <u val="none"/>
      </font>
    </dxf>
    <dxf>
      <fill>
        <patternFill patternType="solid">
          <bgColor theme="4" tint="0.59996337778862885"/>
        </patternFill>
      </fill>
      <border>
        <left/>
        <right/>
        <top/>
        <bottom/>
      </border>
    </dxf>
    <dxf>
      <fill>
        <patternFill>
          <bgColor rgb="FFFFFF00"/>
        </patternFill>
      </fill>
    </dxf>
    <dxf>
      <font>
        <condense val="0"/>
        <extend val="0"/>
        <color indexed="10"/>
      </font>
    </dxf>
  </dxfs>
  <tableStyles count="0" defaultTableStyle="TableStyleMedium2" defaultPivotStyle="PivotStyleLight16"/>
  <colors>
    <mruColors>
      <color rgb="FFFFFF00"/>
      <color rgb="FF006600"/>
      <color rgb="FF77933C"/>
      <color rgb="FFFFFF66"/>
      <color rgb="FF3760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2000"/>
            </a:pPr>
            <a:r>
              <a:rPr lang="en-US" sz="2000"/>
              <a:t>Your Annual Estimated Costs (Payroll + OOP) for Each Medical Plan</a:t>
            </a:r>
          </a:p>
        </c:rich>
      </c:tx>
      <c:layout>
        <c:manualLayout>
          <c:xMode val="edge"/>
          <c:yMode val="edge"/>
          <c:x val="0.13621115310763085"/>
          <c:y val="1.4921798613291015E-2"/>
        </c:manualLayout>
      </c:layout>
      <c:overlay val="0"/>
    </c:title>
    <c:autoTitleDeleted val="0"/>
    <c:plotArea>
      <c:layout>
        <c:manualLayout>
          <c:layoutTarget val="inner"/>
          <c:xMode val="edge"/>
          <c:yMode val="edge"/>
          <c:x val="1.5725629635278644E-2"/>
          <c:y val="0.2932335126364331"/>
          <c:w val="0.96813239976358889"/>
          <c:h val="0.69146420246804974"/>
        </c:manualLayout>
      </c:layout>
      <c:barChart>
        <c:barDir val="col"/>
        <c:grouping val="clustered"/>
        <c:varyColors val="0"/>
        <c:ser>
          <c:idx val="2"/>
          <c:order val="0"/>
          <c:tx>
            <c:v>Preventive Care, Only</c:v>
          </c:tx>
          <c:spPr>
            <a:solidFill>
              <a:schemeClr val="accent3">
                <a:lumMod val="40000"/>
                <a:lumOff val="60000"/>
                <a:alpha val="80000"/>
              </a:schemeClr>
            </a:solidFill>
            <a:ln>
              <a:noFill/>
            </a:ln>
          </c:spPr>
          <c:invertIfNegative val="0"/>
          <c:dLbls>
            <c:numFmt formatCode="_(&quot;$&quot;* #,##0_);_(&quot;$&quot;* \(#,##0\);_(&quot;$&quot;* &quot;-&quot;_);_(@_)" sourceLinked="0"/>
            <c:spPr>
              <a:noFill/>
              <a:ln>
                <a:noFill/>
              </a:ln>
              <a:effectLst/>
            </c:spPr>
            <c:txPr>
              <a:bodyPr rot="-5400000" vert="horz"/>
              <a:lstStyle/>
              <a:p>
                <a:pPr>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'Scenario Results'!$E$40:$K$40</c:f>
              <c:numCache>
                <c:formatCode>_(* #,##0.00_);_(* \(#,##0.00\);_(* "-"??_);_(@_)</c:formatCode>
                <c:ptCount val="7"/>
                <c:pt idx="0">
                  <c:v>#N/A</c:v>
                </c:pt>
                <c:pt idx="1">
                  <c:v>#N/A</c:v>
                </c:pt>
                <c:pt idx="2">
                  <c:v>#N/A</c:v>
                </c:pt>
                <c:pt idx="3">
                  <c:v>#N/A</c:v>
                </c:pt>
                <c:pt idx="4">
                  <c:v>#N/A</c:v>
                </c:pt>
                <c:pt idx="5">
                  <c:v>#N/A</c:v>
                </c:pt>
                <c:pt idx="6">
                  <c:v>#N/A</c:v>
                </c:pt>
              </c:numCache>
            </c:numRef>
          </c:cat>
          <c:val>
            <c:numRef>
              <c:f>'Scenario Results'!$E$80:$K$80</c:f>
              <c:numCache>
                <c:formatCode>_(* #,##0_);_(* \(#,##0\);_(* "-"??_);_(@_)</c:formatCode>
                <c:ptCount val="7"/>
                <c:pt idx="0">
                  <c:v>#N/A</c:v>
                </c:pt>
                <c:pt idx="1">
                  <c:v>#N/A</c:v>
                </c:pt>
                <c:pt idx="2">
                  <c:v>#N/A</c:v>
                </c:pt>
                <c:pt idx="3">
                  <c:v>#N/A</c:v>
                </c:pt>
                <c:pt idx="4">
                  <c:v>#N/A</c:v>
                </c:pt>
                <c:pt idx="5">
                  <c:v>#N/A</c:v>
                </c:pt>
                <c:pt idx="6">
                  <c:v>#N/A</c:v>
                </c:pt>
              </c:numCache>
            </c:numRef>
          </c:val>
          <c:extLst>
            <c:ext xmlns:c16="http://schemas.microsoft.com/office/drawing/2014/chart" uri="{C3380CC4-5D6E-409C-BE32-E72D297353CC}">
              <c16:uniqueId val="{00000000-4A9D-494F-A7A5-05C22E6C16D4}"/>
            </c:ext>
          </c:extLst>
        </c:ser>
        <c:ser>
          <c:idx val="0"/>
          <c:order val="1"/>
          <c:tx>
            <c:v>Maximum Use</c:v>
          </c:tx>
          <c:spPr>
            <a:solidFill>
              <a:schemeClr val="accent2">
                <a:lumMod val="40000"/>
                <a:lumOff val="60000"/>
              </a:schemeClr>
            </a:solidFill>
            <a:ln>
              <a:noFill/>
            </a:ln>
          </c:spPr>
          <c:invertIfNegative val="0"/>
          <c:dLbls>
            <c:numFmt formatCode="_(&quot;$&quot;* #,##0_);_(&quot;$&quot;* \(#,##0\);_(&quot;$&quot;* &quot;-&quot;_);_(@_)" sourceLinked="0"/>
            <c:spPr>
              <a:noFill/>
              <a:ln>
                <a:noFill/>
              </a:ln>
              <a:effectLst/>
            </c:spPr>
            <c:txPr>
              <a:bodyPr rot="-5400000" vert="horz"/>
              <a:lstStyle/>
              <a:p>
                <a:pPr>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'Scenario Results'!$E$40:$K$40</c:f>
              <c:numCache>
                <c:formatCode>_(* #,##0.00_);_(* \(#,##0.00\);_(* "-"??_);_(@_)</c:formatCode>
                <c:ptCount val="7"/>
                <c:pt idx="0">
                  <c:v>#N/A</c:v>
                </c:pt>
                <c:pt idx="1">
                  <c:v>#N/A</c:v>
                </c:pt>
                <c:pt idx="2">
                  <c:v>#N/A</c:v>
                </c:pt>
                <c:pt idx="3">
                  <c:v>#N/A</c:v>
                </c:pt>
                <c:pt idx="4">
                  <c:v>#N/A</c:v>
                </c:pt>
                <c:pt idx="5">
                  <c:v>#N/A</c:v>
                </c:pt>
                <c:pt idx="6">
                  <c:v>#N/A</c:v>
                </c:pt>
              </c:numCache>
            </c:numRef>
          </c:cat>
          <c:val>
            <c:numRef>
              <c:f>'Scenario Results'!$E$71:$K$71</c:f>
              <c:numCache>
                <c:formatCode>_(* #,##0_);_(* \(#,##0\);_(* "-"??_);_(@_)</c:formatCode>
                <c:ptCount val="7"/>
                <c:pt idx="0">
                  <c:v>#N/A</c:v>
                </c:pt>
                <c:pt idx="1">
                  <c:v>#N/A</c:v>
                </c:pt>
                <c:pt idx="2">
                  <c:v>#N/A</c:v>
                </c:pt>
                <c:pt idx="3">
                  <c:v>#N/A</c:v>
                </c:pt>
                <c:pt idx="4">
                  <c:v>#N/A</c:v>
                </c:pt>
                <c:pt idx="5">
                  <c:v>#N/A</c:v>
                </c:pt>
                <c:pt idx="6">
                  <c:v>#N/A</c:v>
                </c:pt>
              </c:numCache>
            </c:numRef>
          </c:val>
          <c:extLst>
            <c:ext xmlns:c16="http://schemas.microsoft.com/office/drawing/2014/chart" uri="{C3380CC4-5D6E-409C-BE32-E72D297353CC}">
              <c16:uniqueId val="{00000002-4A9D-494F-A7A5-05C22E6C16D4}"/>
            </c:ext>
          </c:extLst>
        </c:ser>
        <c:dLbls>
          <c:showLegendKey val="0"/>
          <c:showVal val="0"/>
          <c:showCatName val="0"/>
          <c:showSerName val="0"/>
          <c:showPercent val="0"/>
          <c:showBubbleSize val="0"/>
        </c:dLbls>
        <c:gapWidth val="100"/>
        <c:axId val="167298272"/>
        <c:axId val="167299392"/>
      </c:barChart>
      <c:catAx>
        <c:axId val="167298272"/>
        <c:scaling>
          <c:orientation val="minMax"/>
        </c:scaling>
        <c:delete val="0"/>
        <c:axPos val="b"/>
        <c:numFmt formatCode="#,##0" sourceLinked="0"/>
        <c:majorTickMark val="out"/>
        <c:minorTickMark val="none"/>
        <c:tickLblPos val="high"/>
        <c:spPr>
          <a:ln w="28575" cmpd="sng">
            <a:solidFill>
              <a:schemeClr val="accent3">
                <a:lumMod val="50000"/>
              </a:schemeClr>
            </a:solidFill>
            <a:prstDash val="solid"/>
          </a:ln>
        </c:spPr>
        <c:txPr>
          <a:bodyPr/>
          <a:lstStyle/>
          <a:p>
            <a:pPr>
              <a:defRPr b="0" i="1"/>
            </a:pPr>
            <a:endParaRPr lang="en-US"/>
          </a:p>
        </c:txPr>
        <c:crossAx val="167299392"/>
        <c:crossesAt val="0"/>
        <c:auto val="1"/>
        <c:lblAlgn val="ctr"/>
        <c:lblOffset val="100"/>
        <c:noMultiLvlLbl val="0"/>
      </c:catAx>
      <c:valAx>
        <c:axId val="167299392"/>
        <c:scaling>
          <c:orientation val="minMax"/>
        </c:scaling>
        <c:delete val="1"/>
        <c:axPos val="l"/>
        <c:numFmt formatCode="&quot;$&quot;#,##0" sourceLinked="0"/>
        <c:majorTickMark val="cross"/>
        <c:minorTickMark val="none"/>
        <c:tickLblPos val="nextTo"/>
        <c:crossAx val="167298272"/>
        <c:crosses val="autoZero"/>
        <c:crossBetween val="between"/>
      </c:valAx>
      <c:spPr>
        <a:noFill/>
        <a:ln w="25400">
          <a:noFill/>
        </a:ln>
      </c:spPr>
    </c:plotArea>
    <c:legend>
      <c:legendPos val="t"/>
      <c:layout>
        <c:manualLayout>
          <c:xMode val="edge"/>
          <c:yMode val="edge"/>
          <c:x val="0.25987567851436438"/>
          <c:y val="8.9074923330549963E-2"/>
          <c:w val="0.48099238464751953"/>
          <c:h val="8.110426720853442E-2"/>
        </c:manualLayout>
      </c:layout>
      <c:overlay val="0"/>
      <c:txPr>
        <a:bodyPr/>
        <a:lstStyle/>
        <a:p>
          <a:pPr>
            <a:defRPr sz="2000"/>
          </a:pPr>
          <a:endParaRPr lang="en-US"/>
        </a:p>
      </c:txPr>
    </c:legend>
    <c:plotVisOnly val="0"/>
    <c:dispBlanksAs val="gap"/>
    <c:showDLblsOverMax val="0"/>
  </c:chart>
  <c:spPr>
    <a:solidFill>
      <a:schemeClr val="lt1"/>
    </a:solidFill>
    <a:ln w="6350" cap="flat" cmpd="sng" algn="ctr">
      <a:solidFill>
        <a:sysClr val="windowText" lastClr="000000"/>
      </a:solidFill>
      <a:prstDash val="solid"/>
    </a:ln>
    <a:effectLst/>
  </c:spPr>
  <c:txPr>
    <a:bodyPr/>
    <a:lstStyle/>
    <a:p>
      <a:pPr>
        <a:defRPr sz="1600">
          <a:solidFill>
            <a:schemeClr val="dk1"/>
          </a:solidFill>
          <a:latin typeface="Aptos" panose="020B0004020202020204" pitchFamily="34" charset="0"/>
          <a:ea typeface="+mn-ea"/>
          <a:cs typeface="+mn-cs"/>
        </a:defRPr>
      </a:pPr>
      <a:endParaRPr lang="en-US"/>
    </a:p>
  </c:txPr>
  <c:printSettings>
    <c:headerFooter alignWithMargins="0"/>
    <c:pageMargins b="1" l="0.75000000000000011" r="0.75000000000000011" t="1" header="0.5" footer="0.5"/>
    <c:pageSetup orientation="landscape"/>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Your Annual Estimated Costs (Payroll + OOP) for Each Medical Plan</a:t>
            </a:r>
          </a:p>
        </c:rich>
      </c:tx>
      <c:overlay val="0"/>
    </c:title>
    <c:autoTitleDeleted val="0"/>
    <c:plotArea>
      <c:layout>
        <c:manualLayout>
          <c:layoutTarget val="inner"/>
          <c:xMode val="edge"/>
          <c:yMode val="edge"/>
          <c:x val="1.5725629635278644E-2"/>
          <c:y val="0.27473446637295124"/>
          <c:w val="0.96813239976358889"/>
          <c:h val="0.70996322020934555"/>
        </c:manualLayout>
      </c:layout>
      <c:barChart>
        <c:barDir val="col"/>
        <c:grouping val="clustered"/>
        <c:varyColors val="0"/>
        <c:ser>
          <c:idx val="2"/>
          <c:order val="0"/>
          <c:tx>
            <c:v>Preventive Care, Only</c:v>
          </c:tx>
          <c:spPr>
            <a:solidFill>
              <a:schemeClr val="accent3">
                <a:lumMod val="40000"/>
                <a:lumOff val="60000"/>
                <a:alpha val="80000"/>
              </a:schemeClr>
            </a:solidFill>
            <a:ln>
              <a:noFill/>
            </a:ln>
          </c:spPr>
          <c:invertIfNegative val="0"/>
          <c:dLbls>
            <c:numFmt formatCode="_(&quot;$&quot;* #,##0_);_(&quot;$&quot;* \(#,##0\);_(&quot;$&quot;* &quot;-&quot;_);_(@_)" sourceLinked="0"/>
            <c:spPr>
              <a:noFill/>
              <a:ln>
                <a:noFill/>
              </a:ln>
              <a:effectLst/>
            </c:spPr>
            <c:txPr>
              <a:bodyPr rot="-5400000" vert="horz"/>
              <a:lstStyle/>
              <a:p>
                <a:pPr>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'Scenario Results'!$E$40:$K$40</c:f>
              <c:numCache>
                <c:formatCode>_(* #,##0.00_);_(* \(#,##0.00\);_(* "-"??_);_(@_)</c:formatCode>
                <c:ptCount val="7"/>
                <c:pt idx="0">
                  <c:v>#N/A</c:v>
                </c:pt>
                <c:pt idx="1">
                  <c:v>#N/A</c:v>
                </c:pt>
                <c:pt idx="2">
                  <c:v>#N/A</c:v>
                </c:pt>
                <c:pt idx="3">
                  <c:v>#N/A</c:v>
                </c:pt>
                <c:pt idx="4">
                  <c:v>#N/A</c:v>
                </c:pt>
                <c:pt idx="5">
                  <c:v>#N/A</c:v>
                </c:pt>
                <c:pt idx="6">
                  <c:v>#N/A</c:v>
                </c:pt>
              </c:numCache>
            </c:numRef>
          </c:cat>
          <c:val>
            <c:numRef>
              <c:f>'Scenario Results'!$E$80:$K$80</c:f>
              <c:numCache>
                <c:formatCode>_(* #,##0_);_(* \(#,##0\);_(* "-"??_);_(@_)</c:formatCode>
                <c:ptCount val="7"/>
                <c:pt idx="0">
                  <c:v>#N/A</c:v>
                </c:pt>
                <c:pt idx="1">
                  <c:v>#N/A</c:v>
                </c:pt>
                <c:pt idx="2">
                  <c:v>#N/A</c:v>
                </c:pt>
                <c:pt idx="3">
                  <c:v>#N/A</c:v>
                </c:pt>
                <c:pt idx="4">
                  <c:v>#N/A</c:v>
                </c:pt>
                <c:pt idx="5">
                  <c:v>#N/A</c:v>
                </c:pt>
                <c:pt idx="6">
                  <c:v>#N/A</c:v>
                </c:pt>
              </c:numCache>
            </c:numRef>
          </c:val>
          <c:extLst>
            <c:ext xmlns:c16="http://schemas.microsoft.com/office/drawing/2014/chart" uri="{C3380CC4-5D6E-409C-BE32-E72D297353CC}">
              <c16:uniqueId val="{00000002-2A18-4F23-A7D0-B93DD8CB3D96}"/>
            </c:ext>
          </c:extLst>
        </c:ser>
        <c:ser>
          <c:idx val="1"/>
          <c:order val="1"/>
          <c:tx>
            <c:v>Care Scenario</c:v>
          </c:tx>
          <c:spPr>
            <a:solidFill>
              <a:srgbClr val="FFFF00">
                <a:alpha val="60000"/>
              </a:srgbClr>
            </a:solidFill>
            <a:ln>
              <a:noFill/>
            </a:ln>
          </c:spPr>
          <c:invertIfNegative val="0"/>
          <c:dLbls>
            <c:numFmt formatCode="_(&quot;$&quot;* #,##0_);_(&quot;$&quot;* \(#,##0\);_(&quot;$&quot;* &quot;-&quot;_);_(@_)" sourceLinked="0"/>
            <c:spPr>
              <a:noFill/>
              <a:ln>
                <a:noFill/>
              </a:ln>
              <a:effectLst/>
            </c:spPr>
            <c:txPr>
              <a:bodyPr rot="-5400000" vert="horz"/>
              <a:lstStyle/>
              <a:p>
                <a:pPr algn="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showLeaderLines val="1"/>
              </c:ext>
            </c:extLst>
          </c:dLbls>
          <c:cat>
            <c:numRef>
              <c:f>'Scenario Results'!$E$40:$K$40</c:f>
              <c:numCache>
                <c:formatCode>_(* #,##0.00_);_(* \(#,##0.00\);_(* "-"??_);_(@_)</c:formatCode>
                <c:ptCount val="7"/>
                <c:pt idx="0">
                  <c:v>#N/A</c:v>
                </c:pt>
                <c:pt idx="1">
                  <c:v>#N/A</c:v>
                </c:pt>
                <c:pt idx="2">
                  <c:v>#N/A</c:v>
                </c:pt>
                <c:pt idx="3">
                  <c:v>#N/A</c:v>
                </c:pt>
                <c:pt idx="4">
                  <c:v>#N/A</c:v>
                </c:pt>
                <c:pt idx="5">
                  <c:v>#N/A</c:v>
                </c:pt>
                <c:pt idx="6">
                  <c:v>#N/A</c:v>
                </c:pt>
              </c:numCache>
            </c:numRef>
          </c:cat>
          <c:val>
            <c:numRef>
              <c:f>'Scenario Results'!$E$85:$K$85</c:f>
              <c:numCache>
                <c:formatCode>_(* #,##0_);_(* \(#,##0\);_(* "-"??_);_(@_)</c:formatCode>
                <c:ptCount val="7"/>
                <c:pt idx="0">
                  <c:v>#N/A</c:v>
                </c:pt>
                <c:pt idx="1">
                  <c:v>#N/A</c:v>
                </c:pt>
                <c:pt idx="2">
                  <c:v>#N/A</c:v>
                </c:pt>
                <c:pt idx="3">
                  <c:v>#N/A</c:v>
                </c:pt>
                <c:pt idx="4">
                  <c:v>#N/A</c:v>
                </c:pt>
                <c:pt idx="5">
                  <c:v>#N/A</c:v>
                </c:pt>
                <c:pt idx="6">
                  <c:v>#N/A</c:v>
                </c:pt>
              </c:numCache>
            </c:numRef>
          </c:val>
          <c:extLst>
            <c:ext xmlns:c16="http://schemas.microsoft.com/office/drawing/2014/chart" uri="{C3380CC4-5D6E-409C-BE32-E72D297353CC}">
              <c16:uniqueId val="{00000000-2A18-4F23-A7D0-B93DD8CB3D96}"/>
            </c:ext>
          </c:extLst>
        </c:ser>
        <c:ser>
          <c:idx val="0"/>
          <c:order val="2"/>
          <c:tx>
            <c:v>Maximum Use</c:v>
          </c:tx>
          <c:spPr>
            <a:solidFill>
              <a:schemeClr val="accent2">
                <a:lumMod val="40000"/>
                <a:lumOff val="60000"/>
              </a:schemeClr>
            </a:solidFill>
            <a:ln>
              <a:noFill/>
            </a:ln>
          </c:spPr>
          <c:invertIfNegative val="0"/>
          <c:dLbls>
            <c:numFmt formatCode="_(&quot;$&quot;* #,##0_);_(&quot;$&quot;* \(#,##0\);_(&quot;$&quot;* &quot;-&quot;_);_(@_)" sourceLinked="0"/>
            <c:spPr>
              <a:noFill/>
              <a:ln>
                <a:noFill/>
              </a:ln>
              <a:effectLst/>
            </c:spPr>
            <c:txPr>
              <a:bodyPr rot="-5400000" vert="horz"/>
              <a:lstStyle/>
              <a:p>
                <a:pPr>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'Scenario Results'!$E$40:$K$40</c:f>
              <c:numCache>
                <c:formatCode>_(* #,##0.00_);_(* \(#,##0.00\);_(* "-"??_);_(@_)</c:formatCode>
                <c:ptCount val="7"/>
                <c:pt idx="0">
                  <c:v>#N/A</c:v>
                </c:pt>
                <c:pt idx="1">
                  <c:v>#N/A</c:v>
                </c:pt>
                <c:pt idx="2">
                  <c:v>#N/A</c:v>
                </c:pt>
                <c:pt idx="3">
                  <c:v>#N/A</c:v>
                </c:pt>
                <c:pt idx="4">
                  <c:v>#N/A</c:v>
                </c:pt>
                <c:pt idx="5">
                  <c:v>#N/A</c:v>
                </c:pt>
                <c:pt idx="6">
                  <c:v>#N/A</c:v>
                </c:pt>
              </c:numCache>
            </c:numRef>
          </c:cat>
          <c:val>
            <c:numRef>
              <c:f>'Scenario Results'!$E$71:$K$71</c:f>
              <c:numCache>
                <c:formatCode>_(* #,##0_);_(* \(#,##0\);_(* "-"??_);_(@_)</c:formatCode>
                <c:ptCount val="7"/>
                <c:pt idx="0">
                  <c:v>#N/A</c:v>
                </c:pt>
                <c:pt idx="1">
                  <c:v>#N/A</c:v>
                </c:pt>
                <c:pt idx="2">
                  <c:v>#N/A</c:v>
                </c:pt>
                <c:pt idx="3">
                  <c:v>#N/A</c:v>
                </c:pt>
                <c:pt idx="4">
                  <c:v>#N/A</c:v>
                </c:pt>
                <c:pt idx="5">
                  <c:v>#N/A</c:v>
                </c:pt>
                <c:pt idx="6">
                  <c:v>#N/A</c:v>
                </c:pt>
              </c:numCache>
            </c:numRef>
          </c:val>
          <c:extLst>
            <c:ext xmlns:c16="http://schemas.microsoft.com/office/drawing/2014/chart" uri="{C3380CC4-5D6E-409C-BE32-E72D297353CC}">
              <c16:uniqueId val="{00000001-2A18-4F23-A7D0-B93DD8CB3D96}"/>
            </c:ext>
          </c:extLst>
        </c:ser>
        <c:dLbls>
          <c:showLegendKey val="0"/>
          <c:showVal val="0"/>
          <c:showCatName val="0"/>
          <c:showSerName val="0"/>
          <c:showPercent val="0"/>
          <c:showBubbleSize val="0"/>
        </c:dLbls>
        <c:gapWidth val="100"/>
        <c:axId val="167298272"/>
        <c:axId val="167299392"/>
      </c:barChart>
      <c:catAx>
        <c:axId val="167298272"/>
        <c:scaling>
          <c:orientation val="minMax"/>
        </c:scaling>
        <c:delete val="0"/>
        <c:axPos val="b"/>
        <c:numFmt formatCode="&quot;$&quot;#,##0" sourceLinked="0"/>
        <c:majorTickMark val="out"/>
        <c:minorTickMark val="none"/>
        <c:tickLblPos val="high"/>
        <c:spPr>
          <a:ln w="28575" cmpd="sng">
            <a:solidFill>
              <a:schemeClr val="accent3">
                <a:lumMod val="50000"/>
              </a:schemeClr>
            </a:solidFill>
            <a:prstDash val="solid"/>
          </a:ln>
        </c:spPr>
        <c:txPr>
          <a:bodyPr/>
          <a:lstStyle/>
          <a:p>
            <a:pPr>
              <a:defRPr b="0" i="1"/>
            </a:pPr>
            <a:endParaRPr lang="en-US"/>
          </a:p>
        </c:txPr>
        <c:crossAx val="167299392"/>
        <c:crossesAt val="0"/>
        <c:auto val="1"/>
        <c:lblAlgn val="ctr"/>
        <c:lblOffset val="100"/>
        <c:noMultiLvlLbl val="0"/>
      </c:catAx>
      <c:valAx>
        <c:axId val="167299392"/>
        <c:scaling>
          <c:orientation val="minMax"/>
        </c:scaling>
        <c:delete val="1"/>
        <c:axPos val="l"/>
        <c:numFmt formatCode="&quot;$&quot;#,##0" sourceLinked="0"/>
        <c:majorTickMark val="cross"/>
        <c:minorTickMark val="none"/>
        <c:tickLblPos val="nextTo"/>
        <c:crossAx val="167298272"/>
        <c:crosses val="autoZero"/>
        <c:crossBetween val="between"/>
      </c:valAx>
      <c:spPr>
        <a:noFill/>
        <a:ln w="25400">
          <a:noFill/>
        </a:ln>
      </c:spPr>
    </c:plotArea>
    <c:legend>
      <c:legendPos val="t"/>
      <c:overlay val="1"/>
      <c:spPr>
        <a:ln>
          <a:noFill/>
        </a:ln>
      </c:spPr>
      <c:txPr>
        <a:bodyPr/>
        <a:lstStyle/>
        <a:p>
          <a:pPr>
            <a:defRPr sz="1800"/>
          </a:pPr>
          <a:endParaRPr lang="en-US"/>
        </a:p>
      </c:txPr>
    </c:legend>
    <c:plotVisOnly val="0"/>
    <c:dispBlanksAs val="gap"/>
    <c:showDLblsOverMax val="0"/>
  </c:chart>
  <c:spPr>
    <a:solidFill>
      <a:schemeClr val="lt1"/>
    </a:solidFill>
    <a:ln w="6350" cap="flat" cmpd="sng" algn="ctr">
      <a:solidFill>
        <a:schemeClr val="tx1">
          <a:lumMod val="50000"/>
          <a:lumOff val="50000"/>
        </a:schemeClr>
      </a:solidFill>
      <a:prstDash val="solid"/>
    </a:ln>
    <a:effectLst/>
  </c:spPr>
  <c:txPr>
    <a:bodyPr/>
    <a:lstStyle/>
    <a:p>
      <a:pPr>
        <a:defRPr sz="1600">
          <a:solidFill>
            <a:schemeClr val="dk1"/>
          </a:solidFill>
          <a:latin typeface="Aptos" panose="020B0004020202020204" pitchFamily="34" charset="0"/>
          <a:ea typeface="+mn-ea"/>
          <a:cs typeface="+mn-cs"/>
        </a:defRPr>
      </a:pPr>
      <a:endParaRPr lang="en-US"/>
    </a:p>
  </c:txPr>
  <c:printSettings>
    <c:headerFooter alignWithMargins="0"/>
    <c:pageMargins b="1" l="0.75000000000000011" r="0.75000000000000011" t="1" header="0.5" footer="0.5"/>
    <c:pageSetup orientation="landscape"/>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91440</xdr:colOff>
      <xdr:row>20</xdr:row>
      <xdr:rowOff>311931</xdr:rowOff>
    </xdr:from>
    <xdr:to>
      <xdr:col>13</xdr:col>
      <xdr:colOff>37012</xdr:colOff>
      <xdr:row>25</xdr:row>
      <xdr:rowOff>29360</xdr:rowOff>
    </xdr:to>
    <xdr:sp macro="" textlink="">
      <xdr:nvSpPr>
        <xdr:cNvPr id="4" name="Rectangle: Rounded Corners 3">
          <a:extLst>
            <a:ext uri="{FF2B5EF4-FFF2-40B4-BE49-F238E27FC236}">
              <a16:creationId xmlns:a16="http://schemas.microsoft.com/office/drawing/2014/main" id="{76ABC28E-16F3-ED60-D981-ADD69B716349}"/>
            </a:ext>
          </a:extLst>
        </xdr:cNvPr>
        <xdr:cNvSpPr/>
      </xdr:nvSpPr>
      <xdr:spPr>
        <a:xfrm>
          <a:off x="91440" y="6034551"/>
          <a:ext cx="11253652" cy="868049"/>
        </a:xfrm>
        <a:prstGeom prst="roundRect">
          <a:avLst/>
        </a:prstGeom>
        <a:solidFill>
          <a:schemeClr val="accent1">
            <a:lumMod val="60000"/>
            <a:lumOff val="40000"/>
            <a:alpha val="25098"/>
          </a:schemeClr>
        </a:solidFill>
        <a:ln w="38100">
          <a:solidFill>
            <a:schemeClr val="tx2">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a:solidFill>
              <a:sysClr val="windowText" lastClr="000000"/>
            </a:solidFill>
          </a:endParaRPr>
        </a:p>
      </xdr:txBody>
    </xdr:sp>
    <xdr:clientData/>
  </xdr:twoCellAnchor>
  <xdr:twoCellAnchor editAs="oneCell">
    <xdr:from>
      <xdr:col>0</xdr:col>
      <xdr:colOff>21772</xdr:colOff>
      <xdr:row>0</xdr:row>
      <xdr:rowOff>10886</xdr:rowOff>
    </xdr:from>
    <xdr:to>
      <xdr:col>13</xdr:col>
      <xdr:colOff>0</xdr:colOff>
      <xdr:row>5</xdr:row>
      <xdr:rowOff>293914</xdr:rowOff>
    </xdr:to>
    <xdr:pic>
      <xdr:nvPicPr>
        <xdr:cNvPr id="30" name="Picture 29">
          <a:extLst>
            <a:ext uri="{FF2B5EF4-FFF2-40B4-BE49-F238E27FC236}">
              <a16:creationId xmlns:a16="http://schemas.microsoft.com/office/drawing/2014/main" id="{0DC67857-2007-9350-8D43-0297541329EB}"/>
            </a:ext>
          </a:extLst>
        </xdr:cNvPr>
        <xdr:cNvPicPr>
          <a:picLocks noChangeAspect="1"/>
        </xdr:cNvPicPr>
      </xdr:nvPicPr>
      <xdr:blipFill rotWithShape="1">
        <a:blip xmlns:r="http://schemas.openxmlformats.org/officeDocument/2006/relationships" r:embed="rId1"/>
        <a:srcRect b="86257"/>
        <a:stretch>
          <a:fillRect/>
        </a:stretch>
      </xdr:blipFill>
      <xdr:spPr>
        <a:xfrm>
          <a:off x="21772" y="10886"/>
          <a:ext cx="11323586" cy="2013857"/>
        </a:xfrm>
        <a:prstGeom prst="rect">
          <a:avLst/>
        </a:prstGeom>
      </xdr:spPr>
    </xdr:pic>
    <xdr:clientData/>
  </xdr:twoCellAnchor>
  <xdr:twoCellAnchor>
    <xdr:from>
      <xdr:col>0</xdr:col>
      <xdr:colOff>1</xdr:colOff>
      <xdr:row>37</xdr:row>
      <xdr:rowOff>0</xdr:rowOff>
    </xdr:from>
    <xdr:to>
      <xdr:col>12</xdr:col>
      <xdr:colOff>932330</xdr:colOff>
      <xdr:row>57</xdr:row>
      <xdr:rowOff>0</xdr:rowOff>
    </xdr:to>
    <xdr:graphicFrame macro="">
      <xdr:nvGraphicFramePr>
        <xdr:cNvPr id="5" name="Chart 1">
          <a:extLst>
            <a:ext uri="{FF2B5EF4-FFF2-40B4-BE49-F238E27FC236}">
              <a16:creationId xmlns:a16="http://schemas.microsoft.com/office/drawing/2014/main" id="{E5BE7EEF-5BAA-4936-A1BF-E62DF385A6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0</xdr:colOff>
      <xdr:row>0</xdr:row>
      <xdr:rowOff>92995</xdr:rowOff>
    </xdr:from>
    <xdr:to>
      <xdr:col>2</xdr:col>
      <xdr:colOff>1051360</xdr:colOff>
      <xdr:row>4</xdr:row>
      <xdr:rowOff>0</xdr:rowOff>
    </xdr:to>
    <xdr:pic>
      <xdr:nvPicPr>
        <xdr:cNvPr id="9" name="Picture 8">
          <a:extLst>
            <a:ext uri="{FF2B5EF4-FFF2-40B4-BE49-F238E27FC236}">
              <a16:creationId xmlns:a16="http://schemas.microsoft.com/office/drawing/2014/main" id="{D4CB7874-606C-4C2A-9FA4-E940D462493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250371" y="92995"/>
          <a:ext cx="1301732" cy="1311262"/>
        </a:xfrm>
        <a:prstGeom prst="rect">
          <a:avLst/>
        </a:prstGeom>
      </xdr:spPr>
    </xdr:pic>
    <xdr:clientData/>
  </xdr:twoCellAnchor>
  <xdr:twoCellAnchor>
    <xdr:from>
      <xdr:col>2</xdr:col>
      <xdr:colOff>1317171</xdr:colOff>
      <xdr:row>1</xdr:row>
      <xdr:rowOff>0</xdr:rowOff>
    </xdr:from>
    <xdr:to>
      <xdr:col>10</xdr:col>
      <xdr:colOff>0</xdr:colOff>
      <xdr:row>4</xdr:row>
      <xdr:rowOff>0</xdr:rowOff>
    </xdr:to>
    <xdr:sp macro="" textlink="">
      <xdr:nvSpPr>
        <xdr:cNvPr id="35" name="TextBox 34">
          <a:extLst>
            <a:ext uri="{FF2B5EF4-FFF2-40B4-BE49-F238E27FC236}">
              <a16:creationId xmlns:a16="http://schemas.microsoft.com/office/drawing/2014/main" id="{BEF7A155-D462-99A5-C0E4-8372B4A12D7B}"/>
            </a:ext>
          </a:extLst>
        </xdr:cNvPr>
        <xdr:cNvSpPr txBox="1"/>
      </xdr:nvSpPr>
      <xdr:spPr>
        <a:xfrm>
          <a:off x="1817914" y="195943"/>
          <a:ext cx="7326086" cy="1208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200" b="1" baseline="0">
              <a:latin typeface="Aptos" panose="020B0004020202020204" pitchFamily="34" charset="0"/>
            </a:rPr>
            <a:t>Medical Plan Cost Estimator</a:t>
          </a:r>
        </a:p>
        <a:p>
          <a:r>
            <a:rPr lang="en-US" sz="2800" b="1" baseline="0">
              <a:latin typeface="Aptos" panose="020B0004020202020204" pitchFamily="34" charset="0"/>
            </a:rPr>
            <a:t>For the Plan Year Beginning October 1, 2026</a:t>
          </a:r>
          <a:endParaRPr lang="en-US" sz="2800" b="1">
            <a:latin typeface="Aptos" panose="020B0004020202020204" pitchFamily="34" charset="0"/>
          </a:endParaRPr>
        </a:p>
      </xdr:txBody>
    </xdr:sp>
    <xdr:clientData/>
  </xdr:twoCellAnchor>
  <xdr:twoCellAnchor>
    <xdr:from>
      <xdr:col>0</xdr:col>
      <xdr:colOff>47386</xdr:colOff>
      <xdr:row>29</xdr:row>
      <xdr:rowOff>87726</xdr:rowOff>
    </xdr:from>
    <xdr:to>
      <xdr:col>12</xdr:col>
      <xdr:colOff>1023257</xdr:colOff>
      <xdr:row>34</xdr:row>
      <xdr:rowOff>78761</xdr:rowOff>
    </xdr:to>
    <xdr:sp macro="" textlink="">
      <xdr:nvSpPr>
        <xdr:cNvPr id="2" name="Rectangle: Rounded Corners 1">
          <a:extLst>
            <a:ext uri="{FF2B5EF4-FFF2-40B4-BE49-F238E27FC236}">
              <a16:creationId xmlns:a16="http://schemas.microsoft.com/office/drawing/2014/main" id="{1FD56000-A802-4842-8F1C-A76B57B79A22}"/>
            </a:ext>
          </a:extLst>
        </xdr:cNvPr>
        <xdr:cNvSpPr/>
      </xdr:nvSpPr>
      <xdr:spPr>
        <a:xfrm>
          <a:off x="47386" y="8491497"/>
          <a:ext cx="11295528" cy="1068721"/>
        </a:xfrm>
        <a:prstGeom prst="roundRect">
          <a:avLst/>
        </a:prstGeom>
        <a:solidFill>
          <a:schemeClr val="accent1">
            <a:lumMod val="60000"/>
            <a:lumOff val="40000"/>
            <a:alpha val="25098"/>
          </a:schemeClr>
        </a:solidFill>
        <a:ln w="38100">
          <a:solidFill>
            <a:schemeClr val="tx2">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a:solidFill>
              <a:sysClr val="windowText" lastClr="000000"/>
            </a:solidFill>
          </a:endParaRPr>
        </a:p>
      </xdr:txBody>
    </xdr:sp>
    <xdr:clientData/>
  </xdr:twoCellAnchor>
</xdr:wsDr>
</file>

<file path=xl/drawings/drawing2.xml><?xml version="1.0" encoding="utf-8"?>
<c:userShapes xmlns:c="http://schemas.openxmlformats.org/drawingml/2006/chart">
  <cdr:relSizeAnchor xmlns:cdr="http://schemas.openxmlformats.org/drawingml/2006/chartDrawing">
    <cdr:from>
      <cdr:x>0.83324</cdr:x>
      <cdr:y>0.39602</cdr:y>
    </cdr:from>
    <cdr:to>
      <cdr:x>0.97631</cdr:x>
      <cdr:y>0.94218</cdr:y>
    </cdr:to>
    <cdr:sp macro="" textlink="">
      <cdr:nvSpPr>
        <cdr:cNvPr id="2" name="TextBox 1"/>
        <cdr:cNvSpPr txBox="1"/>
      </cdr:nvSpPr>
      <cdr:spPr>
        <a:xfrm xmlns:a="http://schemas.openxmlformats.org/drawingml/2006/main">
          <a:off x="12203906" y="2166938"/>
          <a:ext cx="2095500" cy="29884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userShapes>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0</xdr:colOff>
      <xdr:row>7</xdr:row>
      <xdr:rowOff>36615</xdr:rowOff>
    </xdr:to>
    <xdr:pic>
      <xdr:nvPicPr>
        <xdr:cNvPr id="3" name="Picture 2">
          <a:extLst>
            <a:ext uri="{FF2B5EF4-FFF2-40B4-BE49-F238E27FC236}">
              <a16:creationId xmlns:a16="http://schemas.microsoft.com/office/drawing/2014/main" id="{8A260C28-7CE5-47B5-A610-D275879C68D8}"/>
            </a:ext>
          </a:extLst>
        </xdr:cNvPr>
        <xdr:cNvPicPr>
          <a:picLocks noChangeAspect="1"/>
        </xdr:cNvPicPr>
      </xdr:nvPicPr>
      <xdr:blipFill rotWithShape="1">
        <a:blip xmlns:r="http://schemas.openxmlformats.org/officeDocument/2006/relationships" r:embed="rId1"/>
        <a:srcRect b="86257"/>
        <a:stretch>
          <a:fillRect/>
        </a:stretch>
      </xdr:blipFill>
      <xdr:spPr>
        <a:xfrm>
          <a:off x="0" y="0"/>
          <a:ext cx="13552714" cy="2028701"/>
        </a:xfrm>
        <a:prstGeom prst="rect">
          <a:avLst/>
        </a:prstGeom>
      </xdr:spPr>
    </xdr:pic>
    <xdr:clientData/>
  </xdr:twoCellAnchor>
  <xdr:twoCellAnchor editAs="oneCell">
    <xdr:from>
      <xdr:col>0</xdr:col>
      <xdr:colOff>227610</xdr:colOff>
      <xdr:row>0</xdr:row>
      <xdr:rowOff>82109</xdr:rowOff>
    </xdr:from>
    <xdr:to>
      <xdr:col>2</xdr:col>
      <xdr:colOff>1027609</xdr:colOff>
      <xdr:row>4</xdr:row>
      <xdr:rowOff>8907</xdr:rowOff>
    </xdr:to>
    <xdr:pic>
      <xdr:nvPicPr>
        <xdr:cNvPr id="4" name="Picture 3">
          <a:extLst>
            <a:ext uri="{FF2B5EF4-FFF2-40B4-BE49-F238E27FC236}">
              <a16:creationId xmlns:a16="http://schemas.microsoft.com/office/drawing/2014/main" id="{5E929A53-2C7D-4A8B-AF10-37F9FDBB67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227610" y="82109"/>
          <a:ext cx="1300742" cy="1320169"/>
        </a:xfrm>
        <a:prstGeom prst="rect">
          <a:avLst/>
        </a:prstGeom>
      </xdr:spPr>
    </xdr:pic>
    <xdr:clientData/>
  </xdr:twoCellAnchor>
  <xdr:twoCellAnchor>
    <xdr:from>
      <xdr:col>2</xdr:col>
      <xdr:colOff>1293420</xdr:colOff>
      <xdr:row>0</xdr:row>
      <xdr:rowOff>183078</xdr:rowOff>
    </xdr:from>
    <xdr:to>
      <xdr:col>8</xdr:col>
      <xdr:colOff>89064</xdr:colOff>
      <xdr:row>3</xdr:row>
      <xdr:rowOff>313707</xdr:rowOff>
    </xdr:to>
    <xdr:sp macro="" textlink="">
      <xdr:nvSpPr>
        <xdr:cNvPr id="5" name="TextBox 4">
          <a:extLst>
            <a:ext uri="{FF2B5EF4-FFF2-40B4-BE49-F238E27FC236}">
              <a16:creationId xmlns:a16="http://schemas.microsoft.com/office/drawing/2014/main" id="{C6155574-3A2E-4F6C-B06B-8015CAFCE6FB}"/>
            </a:ext>
          </a:extLst>
        </xdr:cNvPr>
        <xdr:cNvSpPr txBox="1"/>
      </xdr:nvSpPr>
      <xdr:spPr>
        <a:xfrm>
          <a:off x="1794163" y="183078"/>
          <a:ext cx="7286501"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200" b="1" baseline="0">
              <a:latin typeface="Aptos" panose="020B0004020202020204" pitchFamily="34" charset="0"/>
            </a:rPr>
            <a:t>Medical Plan Cost Estimator</a:t>
          </a:r>
        </a:p>
        <a:p>
          <a:r>
            <a:rPr lang="en-US" sz="2800" b="1" baseline="0">
              <a:latin typeface="Aptos" panose="020B0004020202020204" pitchFamily="34" charset="0"/>
            </a:rPr>
            <a:t>For the Plan Year Beginning October 1, 2026</a:t>
          </a:r>
          <a:endParaRPr lang="en-US" sz="2800" b="1">
            <a:latin typeface="Aptos" panose="020B00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91441</xdr:colOff>
      <xdr:row>18</xdr:row>
      <xdr:rowOff>15242</xdr:rowOff>
    </xdr:from>
    <xdr:to>
      <xdr:col>11</xdr:col>
      <xdr:colOff>69942</xdr:colOff>
      <xdr:row>35</xdr:row>
      <xdr:rowOff>284117</xdr:rowOff>
    </xdr:to>
    <xdr:graphicFrame macro="">
      <xdr:nvGraphicFramePr>
        <xdr:cNvPr id="11" name="Chart 1">
          <a:extLst>
            <a:ext uri="{FF2B5EF4-FFF2-40B4-BE49-F238E27FC236}">
              <a16:creationId xmlns:a16="http://schemas.microsoft.com/office/drawing/2014/main" id="{00000000-0008-0000-01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730251</xdr:colOff>
      <xdr:row>7</xdr:row>
      <xdr:rowOff>0</xdr:rowOff>
    </xdr:from>
    <xdr:to>
      <xdr:col>10</xdr:col>
      <xdr:colOff>460376</xdr:colOff>
      <xdr:row>7</xdr:row>
      <xdr:rowOff>67235</xdr:rowOff>
    </xdr:to>
    <xdr:sp macro="" textlink="">
      <xdr:nvSpPr>
        <xdr:cNvPr id="5" name="TextBox 4">
          <a:extLst>
            <a:ext uri="{FF2B5EF4-FFF2-40B4-BE49-F238E27FC236}">
              <a16:creationId xmlns:a16="http://schemas.microsoft.com/office/drawing/2014/main" id="{00000000-0008-0000-0100-000005000000}"/>
            </a:ext>
          </a:extLst>
        </xdr:cNvPr>
        <xdr:cNvSpPr txBox="1"/>
      </xdr:nvSpPr>
      <xdr:spPr>
        <a:xfrm>
          <a:off x="8509001" y="358775"/>
          <a:ext cx="2921000" cy="1026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600" b="1">
              <a:solidFill>
                <a:schemeClr val="bg1"/>
              </a:solidFill>
              <a:effectLst/>
              <a:latin typeface="+mn-lt"/>
              <a:ea typeface="+mn-ea"/>
              <a:cs typeface="+mn-cs"/>
            </a:rPr>
            <a:t>DEADLINE:</a:t>
          </a:r>
          <a:r>
            <a:rPr lang="en-US" sz="1600" b="1" baseline="0">
              <a:solidFill>
                <a:schemeClr val="bg1"/>
              </a:solidFill>
              <a:effectLst/>
              <a:latin typeface="+mn-lt"/>
              <a:ea typeface="+mn-ea"/>
              <a:cs typeface="+mn-cs"/>
            </a:rPr>
            <a:t> input changes at myhealthbenefits.com by 3PM 7/11</a:t>
          </a:r>
          <a:endParaRPr lang="en-US" sz="1600">
            <a:solidFill>
              <a:schemeClr val="bg1"/>
            </a:solidFill>
            <a:effectLst/>
          </a:endParaRPr>
        </a:p>
      </xdr:txBody>
    </xdr:sp>
    <xdr:clientData/>
  </xdr:twoCellAnchor>
  <xdr:twoCellAnchor>
    <xdr:from>
      <xdr:col>7</xdr:col>
      <xdr:colOff>730251</xdr:colOff>
      <xdr:row>38</xdr:row>
      <xdr:rowOff>0</xdr:rowOff>
    </xdr:from>
    <xdr:to>
      <xdr:col>10</xdr:col>
      <xdr:colOff>460376</xdr:colOff>
      <xdr:row>38</xdr:row>
      <xdr:rowOff>67235</xdr:rowOff>
    </xdr:to>
    <xdr:sp macro="" textlink="">
      <xdr:nvSpPr>
        <xdr:cNvPr id="3" name="TextBox 2">
          <a:extLst>
            <a:ext uri="{FF2B5EF4-FFF2-40B4-BE49-F238E27FC236}">
              <a16:creationId xmlns:a16="http://schemas.microsoft.com/office/drawing/2014/main" id="{2CB13856-3243-4F32-AF3E-36C85C359615}"/>
            </a:ext>
          </a:extLst>
        </xdr:cNvPr>
        <xdr:cNvSpPr txBox="1"/>
      </xdr:nvSpPr>
      <xdr:spPr>
        <a:xfrm>
          <a:off x="8746491" y="3528060"/>
          <a:ext cx="3021965" cy="67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600" b="1">
              <a:solidFill>
                <a:schemeClr val="bg1"/>
              </a:solidFill>
              <a:effectLst/>
              <a:latin typeface="+mn-lt"/>
              <a:ea typeface="+mn-ea"/>
              <a:cs typeface="+mn-cs"/>
            </a:rPr>
            <a:t>DEADLINE:</a:t>
          </a:r>
          <a:r>
            <a:rPr lang="en-US" sz="1600" b="1" baseline="0">
              <a:solidFill>
                <a:schemeClr val="bg1"/>
              </a:solidFill>
              <a:effectLst/>
              <a:latin typeface="+mn-lt"/>
              <a:ea typeface="+mn-ea"/>
              <a:cs typeface="+mn-cs"/>
            </a:rPr>
            <a:t> input changes at myhealthbenefits.com by 3PM 7/11</a:t>
          </a:r>
          <a:endParaRPr lang="en-US" sz="1600">
            <a:solidFill>
              <a:schemeClr val="bg1"/>
            </a:solidFill>
            <a:effectLst/>
          </a:endParaRPr>
        </a:p>
      </xdr:txBody>
    </xdr:sp>
    <xdr:clientData/>
  </xdr:twoCellAnchor>
  <xdr:twoCellAnchor editAs="oneCell">
    <xdr:from>
      <xdr:col>0</xdr:col>
      <xdr:colOff>0</xdr:colOff>
      <xdr:row>0</xdr:row>
      <xdr:rowOff>0</xdr:rowOff>
    </xdr:from>
    <xdr:to>
      <xdr:col>12</xdr:col>
      <xdr:colOff>0</xdr:colOff>
      <xdr:row>6</xdr:row>
      <xdr:rowOff>75210</xdr:rowOff>
    </xdr:to>
    <xdr:pic>
      <xdr:nvPicPr>
        <xdr:cNvPr id="2" name="Picture 1">
          <a:extLst>
            <a:ext uri="{FF2B5EF4-FFF2-40B4-BE49-F238E27FC236}">
              <a16:creationId xmlns:a16="http://schemas.microsoft.com/office/drawing/2014/main" id="{D4B2E7A0-0E0E-41CE-9569-5AB53BA8A3F9}"/>
            </a:ext>
          </a:extLst>
        </xdr:cNvPr>
        <xdr:cNvPicPr>
          <a:picLocks noChangeAspect="1"/>
        </xdr:cNvPicPr>
      </xdr:nvPicPr>
      <xdr:blipFill rotWithShape="1">
        <a:blip xmlns:r="http://schemas.openxmlformats.org/officeDocument/2006/relationships" r:embed="rId2"/>
        <a:srcRect b="86257"/>
        <a:stretch>
          <a:fillRect/>
        </a:stretch>
      </xdr:blipFill>
      <xdr:spPr>
        <a:xfrm>
          <a:off x="0" y="0"/>
          <a:ext cx="12997543" cy="2012867"/>
        </a:xfrm>
        <a:prstGeom prst="rect">
          <a:avLst/>
        </a:prstGeom>
      </xdr:spPr>
    </xdr:pic>
    <xdr:clientData/>
  </xdr:twoCellAnchor>
  <xdr:twoCellAnchor editAs="oneCell">
    <xdr:from>
      <xdr:col>1</xdr:col>
      <xdr:colOff>19792</xdr:colOff>
      <xdr:row>0</xdr:row>
      <xdr:rowOff>82109</xdr:rowOff>
    </xdr:from>
    <xdr:to>
      <xdr:col>2</xdr:col>
      <xdr:colOff>832251</xdr:colOff>
      <xdr:row>4</xdr:row>
      <xdr:rowOff>0</xdr:rowOff>
    </xdr:to>
    <xdr:pic>
      <xdr:nvPicPr>
        <xdr:cNvPr id="6" name="Picture 5">
          <a:extLst>
            <a:ext uri="{FF2B5EF4-FFF2-40B4-BE49-F238E27FC236}">
              <a16:creationId xmlns:a16="http://schemas.microsoft.com/office/drawing/2014/main" id="{22CC3E1E-A16E-4ACC-B41A-0A83B95EF70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227610" y="82109"/>
          <a:ext cx="1241950" cy="1331055"/>
        </a:xfrm>
        <a:prstGeom prst="rect">
          <a:avLst/>
        </a:prstGeom>
      </xdr:spPr>
    </xdr:pic>
    <xdr:clientData/>
  </xdr:twoCellAnchor>
  <xdr:twoCellAnchor>
    <xdr:from>
      <xdr:col>2</xdr:col>
      <xdr:colOff>1156854</xdr:colOff>
      <xdr:row>0</xdr:row>
      <xdr:rowOff>183078</xdr:rowOff>
    </xdr:from>
    <xdr:to>
      <xdr:col>9</xdr:col>
      <xdr:colOff>0</xdr:colOff>
      <xdr:row>3</xdr:row>
      <xdr:rowOff>293914</xdr:rowOff>
    </xdr:to>
    <xdr:sp macro="" textlink="">
      <xdr:nvSpPr>
        <xdr:cNvPr id="7" name="TextBox 6">
          <a:extLst>
            <a:ext uri="{FF2B5EF4-FFF2-40B4-BE49-F238E27FC236}">
              <a16:creationId xmlns:a16="http://schemas.microsoft.com/office/drawing/2014/main" id="{914BA4A2-BE60-40AE-A358-642416FB0570}"/>
            </a:ext>
          </a:extLst>
        </xdr:cNvPr>
        <xdr:cNvSpPr txBox="1"/>
      </xdr:nvSpPr>
      <xdr:spPr>
        <a:xfrm>
          <a:off x="1794163" y="183078"/>
          <a:ext cx="8638310" cy="1219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3200" b="1" baseline="0">
              <a:latin typeface="Aptos" panose="020B0004020202020204" pitchFamily="34" charset="0"/>
            </a:rPr>
            <a:t>Medical Plan Cost Estimator</a:t>
          </a:r>
        </a:p>
        <a:p>
          <a:r>
            <a:rPr lang="en-US" sz="2800" b="1" baseline="0">
              <a:latin typeface="Aptos" panose="020B0004020202020204" pitchFamily="34" charset="0"/>
            </a:rPr>
            <a:t>For the Plan Year Beginning October 1, 2026</a:t>
          </a:r>
          <a:endParaRPr lang="en-US" sz="2800" b="1">
            <a:latin typeface="Aptos" panose="020B0004020202020204" pitchFamily="34" charset="0"/>
          </a:endParaRPr>
        </a:p>
      </xdr:txBody>
    </xdr:sp>
    <xdr:clientData/>
  </xdr:twoCellAnchor>
  <xdr:twoCellAnchor>
    <xdr:from>
      <xdr:col>0</xdr:col>
      <xdr:colOff>76200</xdr:colOff>
      <xdr:row>10</xdr:row>
      <xdr:rowOff>174171</xdr:rowOff>
    </xdr:from>
    <xdr:to>
      <xdr:col>11</xdr:col>
      <xdr:colOff>117763</xdr:colOff>
      <xdr:row>15</xdr:row>
      <xdr:rowOff>86095</xdr:rowOff>
    </xdr:to>
    <xdr:sp macro="" textlink="">
      <xdr:nvSpPr>
        <xdr:cNvPr id="4" name="Rectangle: Rounded Corners 3">
          <a:extLst>
            <a:ext uri="{FF2B5EF4-FFF2-40B4-BE49-F238E27FC236}">
              <a16:creationId xmlns:a16="http://schemas.microsoft.com/office/drawing/2014/main" id="{35E49098-106B-4324-BD39-B4C9AA360030}"/>
            </a:ext>
          </a:extLst>
        </xdr:cNvPr>
        <xdr:cNvSpPr/>
      </xdr:nvSpPr>
      <xdr:spPr>
        <a:xfrm>
          <a:off x="76200" y="3668485"/>
          <a:ext cx="12854049" cy="1664524"/>
        </a:xfrm>
        <a:prstGeom prst="roundRect">
          <a:avLst/>
        </a:prstGeom>
        <a:solidFill>
          <a:schemeClr val="accent1">
            <a:lumMod val="60000"/>
            <a:lumOff val="40000"/>
            <a:alpha val="25098"/>
          </a:schemeClr>
        </a:solidFill>
        <a:ln w="38100">
          <a:solidFill>
            <a:schemeClr val="tx2">
              <a:lumMod val="75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b="1">
            <a:solidFill>
              <a:sysClr val="windowText" lastClr="000000"/>
            </a:solidFill>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0.83324</cdr:x>
      <cdr:y>0.39602</cdr:y>
    </cdr:from>
    <cdr:to>
      <cdr:x>0.97631</cdr:x>
      <cdr:y>0.94218</cdr:y>
    </cdr:to>
    <cdr:sp macro="" textlink="">
      <cdr:nvSpPr>
        <cdr:cNvPr id="2" name="TextBox 1"/>
        <cdr:cNvSpPr txBox="1"/>
      </cdr:nvSpPr>
      <cdr:spPr>
        <a:xfrm xmlns:a="http://schemas.openxmlformats.org/drawingml/2006/main">
          <a:off x="12203906" y="2166938"/>
          <a:ext cx="2095500" cy="29884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userShapes>
</file>

<file path=xl/drawings/drawing6.xml><?xml version="1.0" encoding="utf-8"?>
<xdr:wsDr xmlns:xdr="http://schemas.openxmlformats.org/drawingml/2006/spreadsheetDrawing" xmlns:a="http://schemas.openxmlformats.org/drawingml/2006/main">
  <xdr:twoCellAnchor>
    <xdr:from>
      <xdr:col>10</xdr:col>
      <xdr:colOff>390525</xdr:colOff>
      <xdr:row>1</xdr:row>
      <xdr:rowOff>257175</xdr:rowOff>
    </xdr:from>
    <xdr:to>
      <xdr:col>14</xdr:col>
      <xdr:colOff>438150</xdr:colOff>
      <xdr:row>6</xdr:row>
      <xdr:rowOff>0</xdr:rowOff>
    </xdr:to>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10639425" y="457200"/>
          <a:ext cx="2486025" cy="19240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list must be sorted alpha order.</a:t>
          </a:r>
        </a:p>
        <a:p>
          <a:endParaRPr lang="en-US" sz="1100"/>
        </a:p>
        <a:p>
          <a:r>
            <a:rPr lang="en-US" sz="1100"/>
            <a:t>copy</a:t>
          </a:r>
          <a:r>
            <a:rPr lang="en-US" sz="1100" baseline="0"/>
            <a:t> elected plan titles from MasterMenu.</a:t>
          </a: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57150</xdr:colOff>
      <xdr:row>1</xdr:row>
      <xdr:rowOff>38100</xdr:rowOff>
    </xdr:from>
    <xdr:to>
      <xdr:col>10</xdr:col>
      <xdr:colOff>104775</xdr:colOff>
      <xdr:row>6</xdr:row>
      <xdr:rowOff>161925</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5734050" y="238125"/>
          <a:ext cx="2486025" cy="19240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lists must be sorted alpha</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P66"/>
  <sheetViews>
    <sheetView showGridLines="0" tabSelected="1" topLeftCell="A13" zoomScale="70" zoomScaleNormal="70" workbookViewId="0">
      <selection activeCell="AG26" sqref="AG26"/>
    </sheetView>
  </sheetViews>
  <sheetFormatPr defaultColWidth="9.109375" defaultRowHeight="15.6" x14ac:dyDescent="0.3"/>
  <cols>
    <col min="1" max="2" width="3.6640625" style="239" customWidth="1"/>
    <col min="3" max="3" width="72.5546875" style="240" customWidth="1"/>
    <col min="4" max="4" width="2" style="228" customWidth="1"/>
    <col min="5" max="5" width="15" style="228" customWidth="1"/>
    <col min="6" max="6" width="2" style="228" customWidth="1"/>
    <col min="7" max="7" width="15" style="228" customWidth="1"/>
    <col min="8" max="8" width="2" style="228" customWidth="1"/>
    <col min="9" max="9" width="15" style="228" customWidth="1"/>
    <col min="10" max="10" width="2" style="228" customWidth="1"/>
    <col min="11" max="11" width="15" style="228" customWidth="1"/>
    <col min="12" max="12" width="2" style="228" customWidth="1"/>
    <col min="13" max="13" width="15" style="228" customWidth="1"/>
    <col min="14" max="14" width="4.109375" style="408" customWidth="1"/>
    <col min="15" max="15" width="2.6640625" style="408" hidden="1" customWidth="1"/>
    <col min="16" max="16" width="13.109375" style="408" hidden="1" customWidth="1"/>
    <col min="17" max="17" width="9.109375" style="408" hidden="1" customWidth="1"/>
    <col min="18" max="18" width="14.88671875" style="408" hidden="1" customWidth="1"/>
    <col min="19" max="19" width="10.44140625" style="408" hidden="1" customWidth="1"/>
    <col min="20" max="24" width="9.109375" style="408" hidden="1" customWidth="1"/>
    <col min="25" max="25" width="1.77734375" style="408" hidden="1" customWidth="1"/>
    <col min="26" max="29" width="9.109375" style="408" hidden="1" customWidth="1"/>
    <col min="30" max="30" width="9.109375" style="228" hidden="1" customWidth="1"/>
    <col min="31" max="31" width="9.109375" style="228" customWidth="1"/>
    <col min="32" max="32" width="16.21875" style="408" bestFit="1" customWidth="1"/>
    <col min="33" max="33" width="13.5546875" style="228" bestFit="1" customWidth="1"/>
    <col min="34" max="34" width="17.33203125" style="228" customWidth="1"/>
    <col min="35" max="41" width="13.5546875" style="228" customWidth="1"/>
    <col min="42" max="16384" width="9.109375" style="228"/>
  </cols>
  <sheetData>
    <row r="1" spans="1:42" x14ac:dyDescent="0.3">
      <c r="C1" s="239"/>
      <c r="D1" s="239"/>
      <c r="E1" s="239"/>
      <c r="F1" s="239"/>
      <c r="G1" s="239"/>
      <c r="H1" s="239"/>
      <c r="I1" s="239"/>
      <c r="J1" s="239"/>
      <c r="K1" s="239"/>
      <c r="L1" s="239"/>
      <c r="M1" s="239"/>
      <c r="N1" s="407"/>
      <c r="O1" s="407"/>
      <c r="P1" s="407"/>
      <c r="Q1" s="407"/>
      <c r="R1" s="407"/>
      <c r="S1" s="407"/>
      <c r="T1" s="407"/>
      <c r="U1" s="407"/>
      <c r="V1" s="407"/>
      <c r="W1" s="407"/>
      <c r="X1" s="407"/>
      <c r="Y1" s="407"/>
    </row>
    <row r="2" spans="1:42" s="217" customFormat="1" ht="30" customHeight="1" x14ac:dyDescent="0.3">
      <c r="A2" s="242"/>
      <c r="B2" s="242"/>
      <c r="C2" s="242"/>
      <c r="D2" s="242"/>
      <c r="E2" s="242"/>
      <c r="F2" s="242"/>
      <c r="G2" s="242"/>
      <c r="H2" s="242"/>
      <c r="I2" s="242"/>
      <c r="J2" s="242"/>
      <c r="K2" s="242"/>
      <c r="L2" s="216"/>
      <c r="N2" s="409"/>
      <c r="O2" s="409"/>
      <c r="P2" s="409"/>
      <c r="Q2" s="409"/>
      <c r="R2" s="409"/>
      <c r="S2" s="409"/>
      <c r="T2" s="409"/>
      <c r="U2" s="409"/>
      <c r="V2" s="409"/>
      <c r="W2" s="409"/>
      <c r="X2" s="409"/>
      <c r="Y2" s="409"/>
      <c r="Z2" s="409"/>
      <c r="AA2" s="409"/>
      <c r="AB2" s="409"/>
      <c r="AC2" s="409"/>
      <c r="AF2" s="409"/>
    </row>
    <row r="3" spans="1:42" s="220" customFormat="1" ht="40.5" customHeight="1" x14ac:dyDescent="0.3">
      <c r="A3" s="249"/>
      <c r="B3" s="249"/>
      <c r="C3" s="249"/>
      <c r="D3" s="219"/>
      <c r="E3" s="219"/>
      <c r="F3" s="219"/>
      <c r="G3" s="219"/>
      <c r="H3" s="219"/>
      <c r="I3" s="219"/>
      <c r="J3" s="219"/>
      <c r="K3" s="219"/>
      <c r="L3" s="219"/>
      <c r="N3" s="410"/>
      <c r="O3" s="410"/>
      <c r="P3" s="410"/>
      <c r="Q3" s="410"/>
      <c r="R3" s="410"/>
      <c r="S3" s="410"/>
      <c r="T3" s="410"/>
      <c r="U3" s="410"/>
      <c r="V3" s="410"/>
      <c r="W3" s="410"/>
      <c r="X3" s="410"/>
      <c r="Y3" s="410"/>
      <c r="Z3" s="410"/>
      <c r="AA3" s="410"/>
      <c r="AB3" s="410"/>
      <c r="AC3" s="410"/>
      <c r="AF3" s="410"/>
    </row>
    <row r="4" spans="1:42" s="217" customFormat="1" ht="24.75" customHeight="1" x14ac:dyDescent="0.3">
      <c r="A4" s="241"/>
      <c r="B4" s="241"/>
      <c r="C4" s="241"/>
      <c r="D4" s="222"/>
      <c r="E4" s="222"/>
      <c r="F4" s="222"/>
      <c r="G4" s="222"/>
      <c r="H4" s="222"/>
      <c r="I4" s="222"/>
      <c r="J4" s="222"/>
      <c r="K4" s="222"/>
      <c r="L4" s="222"/>
      <c r="N4" s="409"/>
      <c r="O4" s="409"/>
      <c r="P4" s="409"/>
      <c r="Q4" s="409"/>
      <c r="R4" s="409"/>
      <c r="S4" s="409"/>
      <c r="T4" s="409"/>
      <c r="U4" s="409"/>
      <c r="V4" s="409"/>
      <c r="W4" s="409"/>
      <c r="X4" s="409"/>
      <c r="Y4" s="409"/>
      <c r="Z4" s="409"/>
      <c r="AA4" s="409"/>
      <c r="AB4" s="409"/>
      <c r="AC4" s="409"/>
      <c r="AF4" s="409"/>
    </row>
    <row r="5" spans="1:42" ht="25.8" x14ac:dyDescent="0.3">
      <c r="AF5" s="456"/>
      <c r="AG5" s="456"/>
      <c r="AH5" s="456"/>
      <c r="AI5" s="456"/>
      <c r="AJ5" s="456"/>
      <c r="AK5" s="456"/>
      <c r="AL5" s="456"/>
      <c r="AM5" s="456"/>
      <c r="AN5" s="456"/>
      <c r="AO5" s="456"/>
      <c r="AP5" s="456"/>
    </row>
    <row r="6" spans="1:42" ht="33.6" x14ac:dyDescent="0.3">
      <c r="AF6" s="457"/>
      <c r="AG6" s="457"/>
      <c r="AH6" s="457"/>
      <c r="AI6" s="219"/>
      <c r="AJ6" s="219"/>
      <c r="AK6" s="219"/>
      <c r="AL6" s="219"/>
      <c r="AM6" s="219"/>
      <c r="AN6" s="219"/>
      <c r="AO6" s="219"/>
      <c r="AP6" s="219"/>
    </row>
    <row r="7" spans="1:42" s="223" customFormat="1" ht="25.2" x14ac:dyDescent="0.5">
      <c r="A7" s="445" t="s">
        <v>178</v>
      </c>
      <c r="B7" s="445"/>
      <c r="C7" s="445"/>
      <c r="D7" s="445"/>
      <c r="E7" s="445"/>
      <c r="F7" s="445"/>
      <c r="G7" s="445"/>
      <c r="H7" s="445"/>
      <c r="I7" s="445"/>
      <c r="J7" s="445"/>
      <c r="K7" s="445"/>
      <c r="L7" s="445"/>
      <c r="M7" s="445"/>
      <c r="N7" s="411"/>
      <c r="O7" s="411"/>
      <c r="P7" s="412"/>
      <c r="Q7" s="412"/>
      <c r="R7" s="412"/>
      <c r="S7" s="412"/>
      <c r="T7" s="412"/>
      <c r="U7" s="412"/>
      <c r="V7" s="412"/>
      <c r="W7" s="412"/>
      <c r="X7" s="412"/>
      <c r="Y7" s="412"/>
      <c r="Z7" s="412"/>
      <c r="AA7" s="412"/>
      <c r="AB7" s="412"/>
      <c r="AC7" s="412"/>
      <c r="AF7" s="458"/>
      <c r="AG7" s="458"/>
      <c r="AH7" s="458"/>
      <c r="AI7" s="222"/>
      <c r="AJ7" s="222"/>
      <c r="AK7" s="222"/>
      <c r="AL7" s="222"/>
      <c r="AM7" s="222"/>
      <c r="AN7" s="222"/>
      <c r="AO7" s="222"/>
      <c r="AP7" s="222"/>
    </row>
    <row r="8" spans="1:42" s="255" customFormat="1" ht="9.9" customHeight="1" thickBot="1" x14ac:dyDescent="0.35">
      <c r="A8" s="224"/>
      <c r="B8" s="225"/>
      <c r="C8" s="225"/>
      <c r="D8" s="226"/>
      <c r="E8" s="226"/>
      <c r="F8" s="226"/>
      <c r="G8" s="226"/>
      <c r="H8" s="226"/>
      <c r="I8" s="226"/>
      <c r="J8" s="226"/>
      <c r="K8" s="252"/>
      <c r="L8" s="226"/>
      <c r="M8" s="252"/>
      <c r="N8" s="413"/>
      <c r="O8" s="413"/>
      <c r="P8" s="414"/>
      <c r="Q8" s="415"/>
      <c r="R8" s="415"/>
      <c r="S8" s="415"/>
      <c r="T8" s="415"/>
      <c r="U8" s="415"/>
      <c r="V8" s="415"/>
      <c r="W8" s="415"/>
      <c r="X8" s="415"/>
      <c r="Y8" s="415"/>
      <c r="Z8" s="415"/>
      <c r="AA8" s="415"/>
      <c r="AB8" s="415"/>
      <c r="AC8" s="415"/>
      <c r="AF8" s="415"/>
    </row>
    <row r="9" spans="1:42" s="255" customFormat="1" ht="23.1" customHeight="1" thickBot="1" x14ac:dyDescent="0.45">
      <c r="A9" s="224">
        <v>1</v>
      </c>
      <c r="B9" s="256" t="s">
        <v>2</v>
      </c>
      <c r="C9" s="256"/>
      <c r="D9" s="257"/>
      <c r="E9" s="257"/>
      <c r="F9" s="257"/>
      <c r="G9" s="257"/>
      <c r="H9" s="257"/>
      <c r="I9" s="258"/>
      <c r="J9" s="257"/>
      <c r="K9" s="462"/>
      <c r="L9" s="463"/>
      <c r="M9" s="464"/>
      <c r="N9" s="416"/>
      <c r="O9" s="417"/>
      <c r="P9" s="418" t="e">
        <f>+VLOOKUP(Unit,UnitRate,2)</f>
        <v>#N/A</v>
      </c>
      <c r="Q9" s="415"/>
      <c r="R9" s="415"/>
      <c r="S9" s="415"/>
      <c r="T9" s="415"/>
      <c r="U9" s="415"/>
      <c r="V9" s="415"/>
      <c r="W9" s="415"/>
      <c r="X9" s="415"/>
      <c r="Y9" s="415"/>
      <c r="Z9" s="415"/>
      <c r="AA9" s="415"/>
      <c r="AB9" s="415"/>
      <c r="AC9" s="415"/>
      <c r="AF9" s="415"/>
    </row>
    <row r="10" spans="1:42" s="255" customFormat="1" ht="9.9" customHeight="1" thickBot="1" x14ac:dyDescent="0.35">
      <c r="A10" s="224"/>
      <c r="B10" s="225"/>
      <c r="C10" s="225"/>
      <c r="D10" s="226"/>
      <c r="E10" s="226"/>
      <c r="F10" s="226"/>
      <c r="G10" s="226"/>
      <c r="H10" s="226"/>
      <c r="I10" s="226"/>
      <c r="J10" s="226"/>
      <c r="K10" s="252"/>
      <c r="L10" s="226"/>
      <c r="M10" s="252"/>
      <c r="N10" s="413"/>
      <c r="O10" s="413"/>
      <c r="P10" s="414"/>
      <c r="Q10" s="415"/>
      <c r="R10" s="415"/>
      <c r="S10" s="415"/>
      <c r="T10" s="415"/>
      <c r="U10" s="415"/>
      <c r="V10" s="415"/>
      <c r="W10" s="415"/>
      <c r="X10" s="415"/>
      <c r="Y10" s="415"/>
      <c r="Z10" s="415"/>
      <c r="AA10" s="415"/>
      <c r="AB10" s="415"/>
      <c r="AC10" s="415"/>
      <c r="AF10" s="415"/>
    </row>
    <row r="11" spans="1:42" s="255" customFormat="1" ht="23.1" customHeight="1" thickBot="1" x14ac:dyDescent="0.45">
      <c r="A11" s="224">
        <v>2</v>
      </c>
      <c r="B11" s="256" t="s">
        <v>4</v>
      </c>
      <c r="C11" s="256"/>
      <c r="D11" s="226"/>
      <c r="E11" s="226"/>
      <c r="F11" s="226"/>
      <c r="G11" s="226"/>
      <c r="H11" s="226"/>
      <c r="I11" s="259"/>
      <c r="J11" s="226"/>
      <c r="K11" s="452"/>
      <c r="L11" s="453"/>
      <c r="M11" s="454"/>
      <c r="N11" s="417"/>
      <c r="O11" s="417"/>
      <c r="P11" s="415"/>
      <c r="Q11" s="415"/>
      <c r="R11" s="415"/>
      <c r="S11" s="415"/>
      <c r="T11" s="415"/>
      <c r="U11" s="415"/>
      <c r="V11" s="415"/>
      <c r="W11" s="415"/>
      <c r="X11" s="415"/>
      <c r="Y11" s="415"/>
      <c r="Z11" s="415"/>
      <c r="AA11" s="415"/>
      <c r="AB11" s="415"/>
      <c r="AC11" s="415"/>
      <c r="AF11" s="415"/>
    </row>
    <row r="12" spans="1:42" s="255" customFormat="1" ht="9.9" customHeight="1" thickBot="1" x14ac:dyDescent="0.35">
      <c r="A12" s="224"/>
      <c r="B12" s="225"/>
      <c r="C12" s="225"/>
      <c r="D12" s="226"/>
      <c r="E12" s="226"/>
      <c r="F12" s="226"/>
      <c r="G12" s="226"/>
      <c r="H12" s="226"/>
      <c r="I12" s="226"/>
      <c r="J12" s="226"/>
      <c r="K12" s="252"/>
      <c r="L12" s="226"/>
      <c r="M12" s="252"/>
      <c r="N12" s="413"/>
      <c r="O12" s="413"/>
      <c r="P12" s="414"/>
      <c r="Q12" s="415"/>
      <c r="R12" s="415"/>
      <c r="S12" s="415"/>
      <c r="T12" s="415"/>
      <c r="U12" s="415"/>
      <c r="V12" s="415"/>
      <c r="W12" s="415"/>
      <c r="X12" s="415"/>
      <c r="Y12" s="415"/>
      <c r="Z12" s="415"/>
      <c r="AA12" s="415"/>
      <c r="AB12" s="415"/>
      <c r="AC12" s="415"/>
      <c r="AF12" s="415"/>
    </row>
    <row r="13" spans="1:42" ht="39.75" customHeight="1" thickBot="1" x14ac:dyDescent="0.45">
      <c r="A13" s="224">
        <v>3</v>
      </c>
      <c r="B13" s="465" t="s">
        <v>174</v>
      </c>
      <c r="C13" s="465"/>
      <c r="D13" s="465"/>
      <c r="E13" s="465"/>
      <c r="F13" s="465"/>
      <c r="G13" s="465"/>
      <c r="H13" s="465"/>
      <c r="I13" s="465"/>
      <c r="J13" s="260"/>
      <c r="K13" s="459"/>
      <c r="L13" s="460"/>
      <c r="M13" s="461"/>
      <c r="N13" s="419"/>
      <c r="O13" s="419"/>
      <c r="S13" s="415"/>
    </row>
    <row r="14" spans="1:42" s="255" customFormat="1" ht="9.9" customHeight="1" thickBot="1" x14ac:dyDescent="0.35">
      <c r="A14" s="224"/>
      <c r="B14" s="225"/>
      <c r="C14" s="225"/>
      <c r="D14" s="226"/>
      <c r="E14" s="226"/>
      <c r="F14" s="226"/>
      <c r="G14" s="226"/>
      <c r="H14" s="226"/>
      <c r="I14" s="226"/>
      <c r="J14" s="226"/>
      <c r="K14" s="252"/>
      <c r="L14" s="226"/>
      <c r="M14" s="252"/>
      <c r="N14" s="413"/>
      <c r="O14" s="413"/>
      <c r="P14" s="414"/>
      <c r="Q14" s="415"/>
      <c r="R14" s="415"/>
      <c r="S14" s="415"/>
      <c r="T14" s="415"/>
      <c r="U14" s="415"/>
      <c r="V14" s="415"/>
      <c r="W14" s="415"/>
      <c r="X14" s="415"/>
      <c r="Y14" s="415"/>
      <c r="Z14" s="415"/>
      <c r="AA14" s="415"/>
      <c r="AB14" s="415"/>
      <c r="AC14" s="415"/>
      <c r="AF14" s="415"/>
    </row>
    <row r="15" spans="1:42" ht="21.6" thickBot="1" x14ac:dyDescent="0.45">
      <c r="A15" s="224">
        <v>4</v>
      </c>
      <c r="B15" s="455" t="s">
        <v>175</v>
      </c>
      <c r="C15" s="455"/>
      <c r="D15" s="455"/>
      <c r="E15" s="455"/>
      <c r="F15" s="455"/>
      <c r="G15" s="455"/>
      <c r="H15" s="455"/>
      <c r="I15" s="455"/>
      <c r="J15" s="229"/>
      <c r="K15" s="441"/>
      <c r="L15" s="442"/>
      <c r="M15" s="443"/>
      <c r="N15" s="420"/>
      <c r="O15" s="420"/>
      <c r="S15" s="415"/>
    </row>
    <row r="16" spans="1:42" s="255" customFormat="1" ht="9.9" customHeight="1" thickBot="1" x14ac:dyDescent="0.35">
      <c r="A16" s="224"/>
      <c r="B16" s="225"/>
      <c r="C16" s="225"/>
      <c r="D16" s="226"/>
      <c r="E16" s="226"/>
      <c r="F16" s="226"/>
      <c r="G16" s="226"/>
      <c r="H16" s="226"/>
      <c r="I16" s="226"/>
      <c r="J16" s="226"/>
      <c r="K16" s="252"/>
      <c r="L16" s="226"/>
      <c r="M16" s="252"/>
      <c r="N16" s="413"/>
      <c r="O16" s="413"/>
      <c r="P16" s="414"/>
      <c r="Q16" s="415"/>
      <c r="R16" s="415"/>
      <c r="S16" s="415"/>
      <c r="T16" s="415"/>
      <c r="U16" s="415"/>
      <c r="V16" s="415"/>
      <c r="W16" s="415"/>
      <c r="X16" s="415"/>
      <c r="Y16" s="415"/>
      <c r="Z16" s="415"/>
      <c r="AA16" s="415"/>
      <c r="AB16" s="415"/>
      <c r="AC16" s="415"/>
      <c r="AF16" s="415"/>
    </row>
    <row r="17" spans="1:32" s="255" customFormat="1" ht="21.6" thickBot="1" x14ac:dyDescent="0.45">
      <c r="A17" s="224">
        <v>5</v>
      </c>
      <c r="B17" s="451" t="s">
        <v>6</v>
      </c>
      <c r="C17" s="451"/>
      <c r="D17" s="451"/>
      <c r="E17" s="451"/>
      <c r="F17" s="451"/>
      <c r="G17" s="451"/>
      <c r="H17" s="451"/>
      <c r="I17" s="451"/>
      <c r="J17" s="226"/>
      <c r="K17" s="452"/>
      <c r="L17" s="453"/>
      <c r="M17" s="454"/>
      <c r="N17" s="413"/>
      <c r="O17" s="413"/>
      <c r="P17" s="414"/>
      <c r="Q17" s="415"/>
      <c r="R17" s="415"/>
      <c r="S17" s="415"/>
      <c r="T17" s="415"/>
      <c r="U17" s="415"/>
      <c r="V17" s="415"/>
      <c r="W17" s="415"/>
      <c r="X17" s="415"/>
      <c r="Y17" s="415"/>
      <c r="Z17" s="415"/>
      <c r="AA17" s="415"/>
      <c r="AB17" s="415"/>
      <c r="AC17" s="415"/>
      <c r="AF17" s="415"/>
    </row>
    <row r="18" spans="1:32" s="255" customFormat="1" ht="9.9" customHeight="1" x14ac:dyDescent="0.3">
      <c r="A18" s="224"/>
      <c r="B18" s="225"/>
      <c r="C18" s="225"/>
      <c r="D18" s="226"/>
      <c r="E18" s="226"/>
      <c r="F18" s="226"/>
      <c r="G18" s="226"/>
      <c r="H18" s="226"/>
      <c r="I18" s="226"/>
      <c r="J18" s="226"/>
      <c r="K18" s="252"/>
      <c r="L18" s="226"/>
      <c r="M18" s="252"/>
      <c r="N18" s="413"/>
      <c r="O18" s="413"/>
      <c r="P18" s="414"/>
      <c r="Q18" s="415"/>
      <c r="R18" s="415"/>
      <c r="S18" s="415"/>
      <c r="T18" s="415"/>
      <c r="U18" s="415"/>
      <c r="V18" s="415"/>
      <c r="W18" s="415"/>
      <c r="X18" s="415"/>
      <c r="Y18" s="415"/>
      <c r="Z18" s="415"/>
      <c r="AA18" s="415"/>
      <c r="AB18" s="415"/>
      <c r="AC18" s="415"/>
      <c r="AF18" s="415"/>
    </row>
    <row r="19" spans="1:32" ht="46.95" customHeight="1" thickBot="1" x14ac:dyDescent="0.45">
      <c r="A19" s="224"/>
      <c r="B19" s="230"/>
      <c r="C19" s="261"/>
      <c r="E19" s="231" t="s">
        <v>177</v>
      </c>
      <c r="F19" s="231"/>
      <c r="G19" s="231" t="s">
        <v>8</v>
      </c>
      <c r="H19" s="231"/>
      <c r="I19" s="231" t="s">
        <v>9</v>
      </c>
      <c r="J19" s="231"/>
      <c r="K19" s="231" t="s">
        <v>10</v>
      </c>
      <c r="L19" s="231"/>
      <c r="M19" s="231" t="s">
        <v>11</v>
      </c>
      <c r="N19" s="421"/>
      <c r="O19" s="421"/>
      <c r="S19" s="422"/>
      <c r="AF19" s="415"/>
    </row>
    <row r="20" spans="1:32" ht="22.8" customHeight="1" thickBot="1" x14ac:dyDescent="0.45">
      <c r="A20" s="224">
        <v>6</v>
      </c>
      <c r="B20" s="256" t="s">
        <v>12</v>
      </c>
      <c r="C20" s="256"/>
      <c r="E20" s="232"/>
      <c r="F20" s="262"/>
      <c r="G20" s="232"/>
      <c r="H20" s="262"/>
      <c r="I20" s="232"/>
      <c r="J20" s="262"/>
      <c r="K20" s="232"/>
      <c r="L20" s="262"/>
      <c r="M20" s="232"/>
      <c r="N20" s="420"/>
      <c r="O20" s="420"/>
      <c r="P20" s="408" t="e">
        <f>+IF(EERE="Employee",VLOOKUP(RateStructure,Employee,1+MIN(1+CoveredDependents,3)),VLOOKUP(RateStructure,Retiree,1+MIN(1+CoveredDependents,3)))</f>
        <v>#N/A</v>
      </c>
      <c r="Q20" s="423">
        <f>IF(E20="Yes",1,0)</f>
        <v>0</v>
      </c>
      <c r="R20" s="423">
        <f>IF(G20="Yes",1,0)</f>
        <v>0</v>
      </c>
      <c r="S20" s="423">
        <f>IF(I20="Yes",1,0)</f>
        <v>0</v>
      </c>
      <c r="T20" s="423">
        <f>IF(K20="Yes",1,0)</f>
        <v>0</v>
      </c>
      <c r="U20" s="423">
        <f>IF(M20="Yes",1,0)</f>
        <v>0</v>
      </c>
      <c r="V20" s="424">
        <f>SUM(Q20:U20)</f>
        <v>0</v>
      </c>
      <c r="AF20" s="415"/>
    </row>
    <row r="21" spans="1:32" s="217" customFormat="1" ht="25.2" customHeight="1" x14ac:dyDescent="0.55000000000000004">
      <c r="A21" s="235"/>
      <c r="B21" s="235"/>
      <c r="C21" s="235"/>
      <c r="D21" s="235"/>
      <c r="E21" s="263"/>
      <c r="F21" s="447"/>
      <c r="G21" s="447"/>
      <c r="H21" s="263"/>
      <c r="I21" s="264"/>
      <c r="J21" s="265"/>
      <c r="K21" s="264"/>
      <c r="L21" s="263"/>
      <c r="M21" s="234"/>
      <c r="N21" s="410"/>
      <c r="O21" s="410"/>
      <c r="P21" s="409"/>
      <c r="Q21" s="409"/>
      <c r="R21" s="409"/>
      <c r="S21" s="409"/>
      <c r="T21" s="409"/>
      <c r="U21" s="409"/>
      <c r="V21" s="409"/>
      <c r="W21" s="409"/>
      <c r="X21" s="409"/>
      <c r="Y21" s="409"/>
      <c r="Z21" s="409"/>
      <c r="AA21" s="409"/>
      <c r="AB21" s="409"/>
      <c r="AC21" s="409"/>
      <c r="AF21" s="409"/>
    </row>
    <row r="22" spans="1:32" s="255" customFormat="1" ht="9" customHeight="1" x14ac:dyDescent="0.3">
      <c r="A22" s="224"/>
      <c r="B22" s="225"/>
      <c r="C22" s="225"/>
      <c r="D22" s="228"/>
      <c r="E22" s="226"/>
      <c r="F22" s="226"/>
      <c r="G22" s="226"/>
      <c r="H22" s="226"/>
      <c r="I22" s="226"/>
      <c r="J22" s="226"/>
      <c r="K22" s="252"/>
      <c r="L22" s="226"/>
      <c r="M22" s="252"/>
      <c r="N22" s="413"/>
      <c r="O22" s="413"/>
      <c r="P22" s="414"/>
      <c r="Q22" s="415"/>
      <c r="R22" s="415"/>
      <c r="S22" s="415"/>
      <c r="T22" s="415"/>
      <c r="U22" s="415"/>
      <c r="V22" s="415"/>
      <c r="W22" s="415"/>
      <c r="X22" s="415"/>
      <c r="Y22" s="415"/>
      <c r="Z22" s="415"/>
      <c r="AA22" s="415"/>
      <c r="AB22" s="415"/>
      <c r="AC22" s="415"/>
      <c r="AF22" s="415"/>
    </row>
    <row r="23" spans="1:32" s="217" customFormat="1" ht="28.2" customHeight="1" x14ac:dyDescent="0.3">
      <c r="B23" s="469" t="s">
        <v>197</v>
      </c>
      <c r="C23" s="469"/>
      <c r="D23" s="469"/>
      <c r="E23" s="469"/>
      <c r="F23" s="469"/>
      <c r="G23" s="469"/>
      <c r="H23" s="467" t="s">
        <v>196</v>
      </c>
      <c r="I23" s="468"/>
      <c r="J23" s="439"/>
      <c r="K23" s="439"/>
      <c r="L23" s="468" t="s">
        <v>195</v>
      </c>
      <c r="M23" s="468"/>
      <c r="N23" s="410"/>
      <c r="O23" s="410"/>
      <c r="P23" s="409"/>
      <c r="Q23" s="409"/>
      <c r="R23" s="409"/>
      <c r="S23" s="409"/>
      <c r="T23" s="409"/>
      <c r="U23" s="409"/>
      <c r="V23" s="409">
        <f>1380/12</f>
        <v>115</v>
      </c>
      <c r="W23" s="409">
        <f>1378-115</f>
        <v>1263</v>
      </c>
      <c r="X23" s="409"/>
      <c r="Y23" s="409"/>
      <c r="Z23" s="409"/>
      <c r="AA23" s="409"/>
      <c r="AB23" s="409"/>
      <c r="AC23" s="409"/>
      <c r="AF23" s="409"/>
    </row>
    <row r="24" spans="1:32" s="217" customFormat="1" ht="19.2" customHeight="1" x14ac:dyDescent="0.4">
      <c r="B24" s="469"/>
      <c r="C24" s="469"/>
      <c r="D24" s="469"/>
      <c r="E24" s="469"/>
      <c r="F24" s="469"/>
      <c r="G24" s="469"/>
      <c r="H24" s="446" t="e">
        <f>+(ERContribution-INDEX(Rates,VLOOKUP(CONCATENATE(RateStructure," ",EERE," ",Tier),RateRow,2),VLOOKUP(K17,PlanColumn,2)))</f>
        <v>#N/A</v>
      </c>
      <c r="I24" s="446"/>
      <c r="J24" s="440"/>
      <c r="K24" s="440"/>
      <c r="L24" s="446" t="e">
        <f>+(ERContribution-INDEX(Rates,VLOOKUP(CONCATENATE(RateStructure," ",EERE," ",Tier),RateRow,2),VLOOKUP(K17,PlanColumn,2)))*12</f>
        <v>#N/A</v>
      </c>
      <c r="M24" s="446"/>
      <c r="N24" s="410"/>
      <c r="O24" s="410"/>
      <c r="P24" s="409"/>
      <c r="Q24" s="409"/>
      <c r="R24" s="409"/>
      <c r="S24" s="409"/>
      <c r="T24" s="409"/>
      <c r="U24" s="409"/>
      <c r="V24" s="409"/>
      <c r="W24" s="409"/>
      <c r="X24" s="409"/>
      <c r="Y24" s="409"/>
      <c r="Z24" s="409"/>
      <c r="AA24" s="409"/>
      <c r="AB24" s="409"/>
      <c r="AC24" s="409"/>
      <c r="AF24" s="409"/>
    </row>
    <row r="25" spans="1:32" s="255" customFormat="1" ht="9" customHeight="1" x14ac:dyDescent="0.3">
      <c r="A25" s="224"/>
      <c r="B25" s="225"/>
      <c r="C25" s="225"/>
      <c r="D25" s="228"/>
      <c r="E25" s="226"/>
      <c r="F25" s="226"/>
      <c r="G25" s="226"/>
      <c r="H25" s="226"/>
      <c r="I25" s="226"/>
      <c r="J25" s="226"/>
      <c r="K25" s="252"/>
      <c r="L25" s="226"/>
      <c r="M25" s="252"/>
      <c r="N25" s="413"/>
      <c r="O25" s="413"/>
      <c r="P25" s="414"/>
      <c r="Q25" s="415"/>
      <c r="R25" s="415"/>
      <c r="S25" s="415"/>
      <c r="T25" s="415"/>
      <c r="U25" s="415"/>
      <c r="V25" s="415"/>
      <c r="W25" s="415"/>
      <c r="X25" s="415"/>
      <c r="Y25" s="415"/>
      <c r="Z25" s="415"/>
      <c r="AA25" s="415"/>
      <c r="AB25" s="415"/>
      <c r="AC25" s="415"/>
      <c r="AF25" s="415"/>
    </row>
    <row r="26" spans="1:32" s="217" customFormat="1" ht="25.2" customHeight="1" x14ac:dyDescent="0.55000000000000004">
      <c r="A26" s="235"/>
      <c r="B26" s="235"/>
      <c r="C26" s="235"/>
      <c r="D26" s="235"/>
      <c r="E26" s="263"/>
      <c r="F26" s="447"/>
      <c r="G26" s="447"/>
      <c r="H26" s="263"/>
      <c r="I26" s="264"/>
      <c r="J26" s="265"/>
      <c r="K26" s="264"/>
      <c r="L26" s="263"/>
      <c r="M26" s="234"/>
      <c r="N26" s="410"/>
      <c r="O26" s="410"/>
      <c r="P26" s="409"/>
      <c r="Q26" s="409"/>
      <c r="R26" s="409"/>
      <c r="S26" s="409"/>
      <c r="T26" s="409"/>
      <c r="U26" s="409"/>
      <c r="V26" s="409"/>
      <c r="W26" s="409"/>
      <c r="X26" s="409"/>
      <c r="Y26" s="409"/>
      <c r="Z26" s="409"/>
      <c r="AA26" s="409"/>
      <c r="AB26" s="409"/>
      <c r="AC26" s="409"/>
      <c r="AF26" s="409"/>
    </row>
    <row r="27" spans="1:32" s="255" customFormat="1" ht="4.2" customHeight="1" x14ac:dyDescent="0.3">
      <c r="A27" s="266"/>
      <c r="B27" s="267"/>
      <c r="C27" s="267"/>
      <c r="D27" s="268"/>
      <c r="E27" s="269"/>
      <c r="F27" s="269"/>
      <c r="G27" s="269"/>
      <c r="H27" s="269"/>
      <c r="I27" s="269"/>
      <c r="J27" s="269"/>
      <c r="K27" s="270"/>
      <c r="L27" s="269"/>
      <c r="M27" s="270"/>
      <c r="N27" s="413"/>
      <c r="O27" s="413"/>
      <c r="P27" s="414"/>
      <c r="Q27" s="415"/>
      <c r="R27" s="415"/>
      <c r="S27" s="415"/>
      <c r="T27" s="415"/>
      <c r="U27" s="415"/>
      <c r="V27" s="415"/>
      <c r="W27" s="415"/>
      <c r="X27" s="415"/>
      <c r="Y27" s="415"/>
      <c r="Z27" s="415"/>
      <c r="AA27" s="415"/>
      <c r="AB27" s="415"/>
      <c r="AC27" s="415"/>
      <c r="AF27" s="415"/>
    </row>
    <row r="28" spans="1:32" s="217" customFormat="1" ht="25.2" customHeight="1" x14ac:dyDescent="0.55000000000000004">
      <c r="A28" s="235"/>
      <c r="B28" s="235"/>
      <c r="C28" s="235"/>
      <c r="D28" s="235"/>
      <c r="E28" s="263"/>
      <c r="F28" s="447"/>
      <c r="G28" s="447"/>
      <c r="H28" s="263"/>
      <c r="I28" s="264"/>
      <c r="J28" s="265"/>
      <c r="K28" s="264"/>
      <c r="L28" s="263"/>
      <c r="M28" s="234"/>
      <c r="N28" s="410"/>
      <c r="O28" s="410"/>
      <c r="P28" s="409"/>
      <c r="Q28" s="409"/>
      <c r="R28" s="409"/>
      <c r="S28" s="409"/>
      <c r="T28" s="409"/>
      <c r="U28" s="409"/>
      <c r="V28" s="409"/>
      <c r="W28" s="409"/>
      <c r="X28" s="409"/>
      <c r="Y28" s="409"/>
      <c r="Z28" s="409"/>
      <c r="AA28" s="409"/>
      <c r="AB28" s="409"/>
      <c r="AC28" s="409"/>
      <c r="AF28" s="409"/>
    </row>
    <row r="29" spans="1:32" s="217" customFormat="1" ht="70.2" customHeight="1" x14ac:dyDescent="0.3">
      <c r="A29" s="445" t="s">
        <v>176</v>
      </c>
      <c r="B29" s="445"/>
      <c r="C29" s="445"/>
      <c r="D29" s="445"/>
      <c r="E29" s="445"/>
      <c r="F29" s="445"/>
      <c r="G29" s="445"/>
      <c r="H29" s="445"/>
      <c r="I29" s="445"/>
      <c r="J29" s="445"/>
      <c r="K29" s="445"/>
      <c r="L29" s="445"/>
      <c r="M29" s="445"/>
      <c r="N29" s="410"/>
      <c r="O29" s="410"/>
      <c r="P29" s="409"/>
      <c r="Q29" s="409"/>
      <c r="R29" s="409"/>
      <c r="S29" s="409"/>
      <c r="T29" s="409"/>
      <c r="U29" s="409"/>
      <c r="V29" s="409"/>
      <c r="W29" s="409"/>
      <c r="X29" s="409"/>
      <c r="Y29" s="409"/>
      <c r="Z29" s="409"/>
      <c r="AA29" s="409"/>
      <c r="AB29" s="409"/>
      <c r="AC29" s="409"/>
      <c r="AF29" s="409"/>
    </row>
    <row r="30" spans="1:32" s="255" customFormat="1" ht="9.9" customHeight="1" x14ac:dyDescent="0.3">
      <c r="A30" s="224"/>
      <c r="B30" s="225"/>
      <c r="C30" s="225"/>
      <c r="D30" s="228"/>
      <c r="E30" s="226"/>
      <c r="F30" s="226"/>
      <c r="G30" s="226"/>
      <c r="H30" s="226"/>
      <c r="I30" s="226"/>
      <c r="J30" s="226"/>
      <c r="K30" s="252"/>
      <c r="L30" s="226"/>
      <c r="M30" s="252"/>
      <c r="N30" s="413"/>
      <c r="O30" s="413"/>
      <c r="P30" s="414"/>
      <c r="Q30" s="415"/>
      <c r="R30" s="415"/>
      <c r="S30" s="415"/>
      <c r="T30" s="415"/>
      <c r="U30" s="415"/>
      <c r="V30" s="415"/>
      <c r="W30" s="415"/>
      <c r="X30" s="415"/>
      <c r="Y30" s="415"/>
      <c r="Z30" s="415"/>
      <c r="AA30" s="415"/>
      <c r="AB30" s="415"/>
      <c r="AC30" s="415"/>
      <c r="AF30" s="415"/>
    </row>
    <row r="31" spans="1:32" s="217" customFormat="1" ht="22.8" x14ac:dyDescent="0.55000000000000004">
      <c r="A31" s="235"/>
      <c r="B31" s="470" t="s">
        <v>194</v>
      </c>
      <c r="C31" s="470"/>
      <c r="D31" s="470"/>
      <c r="E31" s="470"/>
      <c r="F31" s="447" t="s">
        <v>42</v>
      </c>
      <c r="G31" s="447"/>
      <c r="H31" s="263"/>
      <c r="I31" s="264" t="s">
        <v>59</v>
      </c>
      <c r="J31" s="265"/>
      <c r="K31" s="264" t="s">
        <v>60</v>
      </c>
      <c r="L31" s="263"/>
      <c r="M31" s="234" t="s">
        <v>79</v>
      </c>
      <c r="N31" s="410"/>
      <c r="O31" s="410"/>
      <c r="P31" s="409"/>
      <c r="Q31" s="409"/>
      <c r="R31" s="409"/>
      <c r="S31" s="409"/>
      <c r="T31" s="409"/>
      <c r="U31" s="409"/>
      <c r="V31" s="409"/>
      <c r="W31" s="409"/>
      <c r="X31" s="409"/>
      <c r="Y31" s="409"/>
      <c r="Z31" s="409"/>
      <c r="AA31" s="409"/>
      <c r="AB31" s="409"/>
      <c r="AC31" s="409"/>
      <c r="AF31" s="409"/>
    </row>
    <row r="32" spans="1:32" s="220" customFormat="1" ht="21" customHeight="1" x14ac:dyDescent="0.3">
      <c r="B32" s="448" t="s">
        <v>192</v>
      </c>
      <c r="C32" s="448"/>
      <c r="D32" s="448"/>
      <c r="E32" s="448"/>
      <c r="F32" s="450" t="e">
        <f>INDEX('Scenario Results'!E81:K81,MATCH(MAX('Scenario Results'!E80:K80),'Scenario Results'!E80:K80,0))</f>
        <v>#N/A</v>
      </c>
      <c r="G32" s="450"/>
      <c r="H32" s="374"/>
      <c r="I32" s="375" t="e">
        <f>+MAX('Scenario Results'!E43:K44)</f>
        <v>#N/A</v>
      </c>
      <c r="J32" s="376"/>
      <c r="K32" s="375">
        <v>0</v>
      </c>
      <c r="L32" s="375"/>
      <c r="M32" s="375" t="e">
        <f>+I32+K32</f>
        <v>#N/A</v>
      </c>
      <c r="N32" s="375"/>
      <c r="O32" s="410"/>
      <c r="P32" s="410"/>
      <c r="Q32" s="410"/>
      <c r="R32" s="410"/>
      <c r="S32" s="410"/>
      <c r="T32" s="410"/>
      <c r="U32" s="410"/>
      <c r="V32" s="410"/>
      <c r="W32" s="410"/>
      <c r="X32" s="410"/>
      <c r="Y32" s="410"/>
      <c r="Z32" s="410"/>
      <c r="AA32" s="410"/>
      <c r="AB32" s="410"/>
      <c r="AC32" s="410"/>
      <c r="AF32" s="410"/>
    </row>
    <row r="33" spans="1:38" s="377" customFormat="1" ht="9.9" customHeight="1" x14ac:dyDescent="0.4">
      <c r="A33" s="230"/>
      <c r="B33" s="225"/>
      <c r="C33" s="225"/>
      <c r="D33" s="382"/>
      <c r="E33" s="226"/>
      <c r="G33" s="226"/>
      <c r="H33" s="378"/>
      <c r="I33" s="378"/>
      <c r="J33" s="378"/>
      <c r="K33" s="378"/>
      <c r="L33" s="378"/>
      <c r="M33" s="379"/>
      <c r="N33" s="425"/>
      <c r="O33" s="413"/>
      <c r="P33" s="413"/>
      <c r="Q33" s="426"/>
      <c r="R33" s="426"/>
      <c r="S33" s="426"/>
      <c r="T33" s="426"/>
      <c r="U33" s="426"/>
      <c r="V33" s="426"/>
      <c r="W33" s="426"/>
      <c r="X33" s="426"/>
      <c r="Y33" s="426"/>
      <c r="Z33" s="426"/>
      <c r="AA33" s="426"/>
      <c r="AB33" s="426"/>
      <c r="AC33" s="426"/>
      <c r="AF33" s="426"/>
    </row>
    <row r="34" spans="1:38" s="220" customFormat="1" ht="21" x14ac:dyDescent="0.3">
      <c r="B34" s="448" t="s">
        <v>193</v>
      </c>
      <c r="C34" s="448"/>
      <c r="D34" s="448"/>
      <c r="E34" s="448"/>
      <c r="F34" s="450" t="e">
        <f>IF(Unit=UnitMenu!A2,INDEX('Scenario Results'!E72:K72,MATCH(MAX('Scenario Results'!E71:K71),'Scenario Results'!E71:K71,0)),INDEX('Scenario Results'!E72:J72,MATCH(MAX('Scenario Results'!E71:J71),'Scenario Results'!E71:J71,0)))</f>
        <v>#N/A</v>
      </c>
      <c r="G34" s="450"/>
      <c r="I34" s="375" t="e">
        <f>+(ERContribution-INDEX(Rates,VLOOKUP(CONCATENATE(RateStructure," ",EERE," ",Tier),RateRow,2),VLOOKUP(F34,PlanColumn,2)))*12</f>
        <v>#N/A</v>
      </c>
      <c r="J34" s="376"/>
      <c r="K34" s="375" t="e">
        <f>M34-I34</f>
        <v>#N/A</v>
      </c>
      <c r="L34" s="374"/>
      <c r="M34" s="375" t="e">
        <f>+IF(Unit=UnitMenu!A2,MAX('Scenario Results'!E71:K71),MAX('Scenario Results'!E71:J71))</f>
        <v>#N/A</v>
      </c>
      <c r="N34" s="375"/>
      <c r="O34" s="410"/>
      <c r="P34" s="410"/>
      <c r="Q34" s="410"/>
      <c r="R34" s="410"/>
      <c r="S34" s="410"/>
      <c r="T34" s="410"/>
      <c r="U34" s="410"/>
      <c r="V34" s="410"/>
      <c r="W34" s="410"/>
      <c r="X34" s="410"/>
      <c r="Y34" s="410"/>
      <c r="Z34" s="410"/>
      <c r="AA34" s="410"/>
      <c r="AB34" s="410"/>
      <c r="AC34" s="410"/>
      <c r="AF34" s="410"/>
    </row>
    <row r="35" spans="1:38" s="255" customFormat="1" ht="9.9" customHeight="1" x14ac:dyDescent="0.35">
      <c r="A35" s="224"/>
      <c r="B35" s="225"/>
      <c r="C35" s="225"/>
      <c r="D35" s="228"/>
      <c r="E35" s="226"/>
      <c r="F35" s="271"/>
      <c r="G35" s="272"/>
      <c r="H35" s="273"/>
      <c r="I35" s="273"/>
      <c r="J35" s="273"/>
      <c r="K35" s="273"/>
      <c r="L35" s="273"/>
      <c r="M35" s="273"/>
      <c r="N35" s="427"/>
      <c r="O35" s="413"/>
      <c r="P35" s="414"/>
      <c r="Q35" s="415"/>
      <c r="R35" s="415"/>
      <c r="S35" s="415"/>
      <c r="T35" s="415"/>
      <c r="U35" s="415"/>
      <c r="V35" s="415"/>
      <c r="W35" s="415"/>
      <c r="X35" s="415"/>
      <c r="Y35" s="415"/>
      <c r="Z35" s="415"/>
      <c r="AA35" s="415"/>
      <c r="AB35" s="415"/>
      <c r="AC35" s="415"/>
      <c r="AF35" s="415"/>
    </row>
    <row r="36" spans="1:38" s="217" customFormat="1" ht="43.2" customHeight="1" x14ac:dyDescent="0.3">
      <c r="A36" s="448" t="s">
        <v>180</v>
      </c>
      <c r="B36" s="448"/>
      <c r="C36" s="448"/>
      <c r="D36" s="448"/>
      <c r="E36" s="448"/>
      <c r="F36" s="448"/>
      <c r="G36" s="448"/>
      <c r="H36" s="448"/>
      <c r="I36" s="448"/>
      <c r="J36" s="448"/>
      <c r="K36" s="448"/>
      <c r="L36" s="448"/>
      <c r="M36" s="448"/>
      <c r="N36" s="428"/>
      <c r="O36" s="410"/>
      <c r="P36" s="409"/>
      <c r="Q36" s="409"/>
      <c r="R36" s="409"/>
      <c r="S36" s="409"/>
      <c r="T36" s="409"/>
      <c r="U36" s="409"/>
      <c r="V36" s="409"/>
      <c r="W36" s="409"/>
      <c r="X36" s="409"/>
      <c r="Y36" s="409"/>
      <c r="Z36" s="409"/>
      <c r="AA36" s="409"/>
      <c r="AB36" s="409"/>
      <c r="AC36" s="409"/>
      <c r="AF36" s="409"/>
    </row>
    <row r="37" spans="1:38" s="217" customFormat="1" ht="22.8" x14ac:dyDescent="0.55000000000000004">
      <c r="A37" s="235"/>
      <c r="B37" s="235"/>
      <c r="C37" s="235"/>
      <c r="D37" s="235"/>
      <c r="E37" s="263"/>
      <c r="F37" s="447"/>
      <c r="G37" s="447"/>
      <c r="H37" s="263"/>
      <c r="I37" s="264"/>
      <c r="J37" s="265"/>
      <c r="K37" s="264"/>
      <c r="L37" s="263"/>
      <c r="M37" s="234"/>
      <c r="N37" s="410"/>
      <c r="O37" s="410"/>
      <c r="P37" s="409"/>
      <c r="Q37" s="409"/>
      <c r="R37" s="409"/>
      <c r="S37" s="409"/>
      <c r="T37" s="409"/>
      <c r="U37" s="409"/>
      <c r="V37" s="409"/>
      <c r="W37" s="409"/>
      <c r="X37" s="409"/>
      <c r="Y37" s="409"/>
      <c r="Z37" s="409"/>
      <c r="AA37" s="409"/>
      <c r="AB37" s="409"/>
      <c r="AC37" s="409"/>
      <c r="AF37" s="409"/>
    </row>
    <row r="38" spans="1:38" s="255" customFormat="1" ht="9.9" customHeight="1" x14ac:dyDescent="0.35">
      <c r="A38" s="224"/>
      <c r="B38" s="225"/>
      <c r="C38" s="225"/>
      <c r="D38" s="228"/>
      <c r="E38" s="226"/>
      <c r="F38" s="271"/>
      <c r="G38" s="272"/>
      <c r="H38" s="273"/>
      <c r="I38" s="273"/>
      <c r="J38" s="273"/>
      <c r="K38" s="273"/>
      <c r="L38" s="273"/>
      <c r="M38" s="273"/>
      <c r="N38" s="427"/>
      <c r="O38" s="413"/>
      <c r="P38" s="414"/>
      <c r="Q38" s="415"/>
      <c r="R38" s="415"/>
      <c r="S38" s="415"/>
      <c r="T38" s="415"/>
      <c r="U38" s="415"/>
      <c r="V38" s="415"/>
      <c r="W38" s="415"/>
      <c r="X38" s="415"/>
      <c r="Y38" s="415"/>
      <c r="Z38" s="415"/>
      <c r="AA38" s="415"/>
      <c r="AB38" s="415"/>
      <c r="AC38" s="415"/>
      <c r="AF38" s="415"/>
    </row>
    <row r="39" spans="1:38" s="255" customFormat="1" ht="9.9" customHeight="1" x14ac:dyDescent="0.35">
      <c r="A39" s="224"/>
      <c r="B39" s="225"/>
      <c r="C39" s="225"/>
      <c r="D39" s="228"/>
      <c r="E39" s="226"/>
      <c r="F39" s="271"/>
      <c r="G39" s="272"/>
      <c r="H39" s="273"/>
      <c r="I39" s="273"/>
      <c r="J39" s="273"/>
      <c r="K39" s="273"/>
      <c r="L39" s="273"/>
      <c r="M39" s="273"/>
      <c r="N39" s="427"/>
      <c r="O39" s="413"/>
      <c r="P39" s="414"/>
      <c r="Q39" s="415"/>
      <c r="R39" s="415"/>
      <c r="S39" s="415"/>
      <c r="T39" s="415"/>
      <c r="U39" s="415"/>
      <c r="V39" s="415"/>
      <c r="W39" s="415"/>
      <c r="X39" s="415"/>
      <c r="Y39" s="415"/>
      <c r="Z39" s="415"/>
      <c r="AA39" s="415"/>
      <c r="AB39" s="415"/>
      <c r="AC39" s="415"/>
      <c r="AF39" s="415"/>
    </row>
    <row r="40" spans="1:38" s="255" customFormat="1" ht="9.9" customHeight="1" x14ac:dyDescent="0.35">
      <c r="A40" s="224"/>
      <c r="B40" s="225"/>
      <c r="C40" s="225"/>
      <c r="D40" s="228"/>
      <c r="E40" s="226"/>
      <c r="F40" s="271"/>
      <c r="G40" s="272"/>
      <c r="H40" s="273"/>
      <c r="I40" s="273"/>
      <c r="J40" s="273"/>
      <c r="K40" s="273"/>
      <c r="L40" s="273"/>
      <c r="M40" s="273"/>
      <c r="N40" s="427"/>
      <c r="O40" s="413"/>
      <c r="P40" s="414"/>
      <c r="Q40" s="415"/>
      <c r="R40" s="415"/>
      <c r="S40" s="415"/>
      <c r="T40" s="415"/>
      <c r="U40" s="415"/>
      <c r="V40" s="415"/>
      <c r="W40" s="415"/>
      <c r="X40" s="415"/>
      <c r="Y40" s="415"/>
      <c r="Z40" s="415"/>
      <c r="AA40" s="415"/>
      <c r="AB40" s="415"/>
      <c r="AC40" s="415"/>
      <c r="AF40" s="415"/>
    </row>
    <row r="41" spans="1:38" s="255" customFormat="1" ht="21" x14ac:dyDescent="0.35">
      <c r="A41" s="224"/>
      <c r="B41" s="225"/>
      <c r="C41" s="225"/>
      <c r="D41" s="228"/>
      <c r="E41" s="226"/>
      <c r="F41" s="271"/>
      <c r="G41" s="272"/>
      <c r="H41" s="273"/>
      <c r="I41" s="273"/>
      <c r="J41" s="273"/>
      <c r="K41" s="273"/>
      <c r="L41" s="273"/>
      <c r="M41" s="273"/>
      <c r="N41" s="427"/>
      <c r="O41" s="413"/>
      <c r="P41" s="414"/>
      <c r="Q41" s="415"/>
      <c r="R41" s="415"/>
      <c r="S41" s="415"/>
      <c r="T41" s="415"/>
      <c r="U41" s="415"/>
      <c r="V41" s="415"/>
      <c r="W41" s="415"/>
      <c r="X41" s="415"/>
      <c r="Y41" s="415"/>
      <c r="Z41" s="415"/>
      <c r="AA41" s="415"/>
      <c r="AB41" s="415"/>
      <c r="AC41" s="415"/>
      <c r="AD41" s="215"/>
      <c r="AF41" s="415"/>
    </row>
    <row r="42" spans="1:38" s="255" customFormat="1" ht="21" x14ac:dyDescent="0.35">
      <c r="A42" s="224"/>
      <c r="B42" s="225"/>
      <c r="C42" s="225"/>
      <c r="D42" s="228"/>
      <c r="E42" s="226"/>
      <c r="F42" s="271"/>
      <c r="G42" s="272"/>
      <c r="H42" s="273"/>
      <c r="I42" s="273"/>
      <c r="J42" s="273"/>
      <c r="K42" s="273"/>
      <c r="L42" s="273"/>
      <c r="M42" s="273"/>
      <c r="N42" s="427"/>
      <c r="O42" s="413"/>
      <c r="P42" s="414"/>
      <c r="Q42" s="415"/>
      <c r="R42" s="415"/>
      <c r="S42" s="415"/>
      <c r="T42" s="415"/>
      <c r="U42" s="415"/>
      <c r="V42" s="415"/>
      <c r="W42" s="415"/>
      <c r="X42" s="415"/>
      <c r="Y42" s="415"/>
      <c r="Z42" s="415"/>
      <c r="AA42" s="415"/>
      <c r="AB42" s="415"/>
      <c r="AC42" s="415"/>
      <c r="AD42" s="211"/>
      <c r="AF42" s="415"/>
    </row>
    <row r="43" spans="1:38" s="255" customFormat="1" ht="21" x14ac:dyDescent="0.35">
      <c r="A43" s="224"/>
      <c r="B43" s="225"/>
      <c r="C43" s="225"/>
      <c r="D43" s="228"/>
      <c r="E43" s="226"/>
      <c r="F43" s="271"/>
      <c r="G43" s="272"/>
      <c r="H43" s="273"/>
      <c r="I43" s="273"/>
      <c r="J43" s="273"/>
      <c r="K43" s="273"/>
      <c r="L43" s="273"/>
      <c r="M43" s="273"/>
      <c r="N43" s="427"/>
      <c r="O43" s="413"/>
      <c r="P43" s="414"/>
      <c r="Q43" s="415"/>
      <c r="R43" s="415"/>
      <c r="S43" s="415"/>
      <c r="T43" s="415"/>
      <c r="U43" s="415"/>
      <c r="V43" s="415"/>
      <c r="W43" s="415"/>
      <c r="X43" s="415"/>
      <c r="Y43" s="415"/>
      <c r="Z43" s="415"/>
      <c r="AA43" s="415"/>
      <c r="AB43" s="415"/>
      <c r="AC43" s="415"/>
      <c r="AD43" s="243"/>
      <c r="AF43" s="415"/>
    </row>
    <row r="44" spans="1:38" s="255" customFormat="1" ht="21" x14ac:dyDescent="0.35">
      <c r="A44" s="224"/>
      <c r="B44" s="225"/>
      <c r="C44" s="225"/>
      <c r="D44" s="228"/>
      <c r="E44" s="226"/>
      <c r="F44" s="271"/>
      <c r="G44" s="272"/>
      <c r="H44" s="273"/>
      <c r="I44" s="273"/>
      <c r="J44" s="273"/>
      <c r="K44" s="273"/>
      <c r="L44" s="273"/>
      <c r="M44" s="273"/>
      <c r="N44" s="427"/>
      <c r="O44" s="413"/>
      <c r="P44" s="414"/>
      <c r="Q44" s="415"/>
      <c r="R44" s="415"/>
      <c r="S44" s="415"/>
      <c r="T44" s="415"/>
      <c r="U44" s="415"/>
      <c r="V44" s="415"/>
      <c r="W44" s="415"/>
      <c r="X44" s="415"/>
      <c r="Y44" s="415"/>
      <c r="Z44" s="415"/>
      <c r="AA44" s="415"/>
      <c r="AB44" s="415"/>
      <c r="AC44" s="415"/>
      <c r="AD44" s="244"/>
      <c r="AF44" s="415"/>
    </row>
    <row r="45" spans="1:38" s="255" customFormat="1" ht="21" x14ac:dyDescent="0.35">
      <c r="A45" s="224"/>
      <c r="B45" s="225"/>
      <c r="C45" s="225"/>
      <c r="D45" s="228"/>
      <c r="E45" s="226"/>
      <c r="F45" s="271"/>
      <c r="G45" s="272"/>
      <c r="H45" s="273"/>
      <c r="I45" s="273"/>
      <c r="J45" s="273"/>
      <c r="K45" s="273"/>
      <c r="L45" s="273"/>
      <c r="M45" s="273"/>
      <c r="N45" s="427"/>
      <c r="O45" s="413"/>
      <c r="P45" s="414"/>
      <c r="Q45" s="415"/>
      <c r="R45" s="415"/>
      <c r="S45" s="415"/>
      <c r="T45" s="415"/>
      <c r="U45" s="415"/>
      <c r="V45" s="415"/>
      <c r="W45" s="415"/>
      <c r="X45" s="415"/>
      <c r="Y45" s="415"/>
      <c r="Z45" s="415"/>
      <c r="AA45" s="415"/>
      <c r="AB45" s="415"/>
      <c r="AC45" s="415"/>
      <c r="AD45" s="274"/>
      <c r="AE45" s="212"/>
      <c r="AF45" s="432"/>
      <c r="AG45" s="205"/>
      <c r="AH45" s="205"/>
      <c r="AI45" s="205"/>
      <c r="AJ45" s="205"/>
      <c r="AK45" s="205"/>
      <c r="AL45" s="205"/>
    </row>
    <row r="46" spans="1:38" s="255" customFormat="1" ht="21" x14ac:dyDescent="0.35">
      <c r="A46" s="224"/>
      <c r="B46" s="225"/>
      <c r="C46" s="225"/>
      <c r="D46" s="228"/>
      <c r="E46" s="226"/>
      <c r="F46" s="271"/>
      <c r="G46" s="272"/>
      <c r="H46" s="273"/>
      <c r="I46" s="273"/>
      <c r="J46" s="273"/>
      <c r="K46" s="273"/>
      <c r="L46" s="273"/>
      <c r="M46" s="273"/>
      <c r="N46" s="427"/>
      <c r="O46" s="413"/>
      <c r="P46" s="414"/>
      <c r="Q46" s="415"/>
      <c r="R46" s="415"/>
      <c r="S46" s="415"/>
      <c r="T46" s="415"/>
      <c r="U46" s="415"/>
      <c r="V46" s="415"/>
      <c r="W46" s="415"/>
      <c r="X46" s="415"/>
      <c r="Y46" s="415"/>
      <c r="Z46" s="415"/>
      <c r="AA46" s="415"/>
      <c r="AB46" s="415"/>
      <c r="AC46" s="415"/>
      <c r="AD46" s="210"/>
      <c r="AE46" s="213"/>
      <c r="AF46" s="433"/>
      <c r="AG46" s="206"/>
      <c r="AH46" s="206"/>
      <c r="AI46" s="206"/>
      <c r="AJ46" s="206"/>
      <c r="AK46" s="206"/>
      <c r="AL46" s="206"/>
    </row>
    <row r="47" spans="1:38" s="255" customFormat="1" ht="21" x14ac:dyDescent="0.35">
      <c r="A47" s="224"/>
      <c r="B47" s="225"/>
      <c r="C47" s="225"/>
      <c r="D47" s="228"/>
      <c r="E47" s="226"/>
      <c r="F47" s="271"/>
      <c r="G47" s="272"/>
      <c r="H47" s="273"/>
      <c r="I47" s="273"/>
      <c r="J47" s="273"/>
      <c r="K47" s="273"/>
      <c r="L47" s="273"/>
      <c r="M47" s="273"/>
      <c r="N47" s="427"/>
      <c r="O47" s="413"/>
      <c r="P47" s="414"/>
      <c r="Q47" s="415"/>
      <c r="R47" s="415"/>
      <c r="S47" s="415"/>
      <c r="T47" s="415"/>
      <c r="U47" s="415"/>
      <c r="V47" s="415"/>
      <c r="W47" s="415"/>
      <c r="X47" s="415"/>
      <c r="Y47" s="415"/>
      <c r="Z47" s="415"/>
      <c r="AA47" s="415"/>
      <c r="AB47" s="415"/>
      <c r="AC47" s="415"/>
      <c r="AD47" s="275"/>
      <c r="AE47" s="276"/>
      <c r="AF47" s="434"/>
      <c r="AG47" s="207"/>
      <c r="AH47" s="207"/>
      <c r="AI47" s="207"/>
      <c r="AJ47" s="207"/>
      <c r="AK47" s="208"/>
      <c r="AL47" s="208"/>
    </row>
    <row r="48" spans="1:38" s="255" customFormat="1" ht="21" x14ac:dyDescent="0.45">
      <c r="A48" s="224"/>
      <c r="B48" s="225"/>
      <c r="C48" s="225"/>
      <c r="D48" s="228"/>
      <c r="E48" s="226"/>
      <c r="F48" s="271"/>
      <c r="G48" s="272"/>
      <c r="H48" s="273"/>
      <c r="I48" s="273"/>
      <c r="J48" s="273"/>
      <c r="K48" s="273"/>
      <c r="L48" s="273"/>
      <c r="M48" s="273"/>
      <c r="N48" s="427"/>
      <c r="O48" s="413"/>
      <c r="P48" s="414"/>
      <c r="Q48" s="415"/>
      <c r="R48" s="415"/>
      <c r="S48" s="415"/>
      <c r="T48" s="415"/>
      <c r="U48" s="415"/>
      <c r="V48" s="415"/>
      <c r="W48" s="415"/>
      <c r="X48" s="415"/>
      <c r="Y48" s="415"/>
      <c r="Z48" s="415"/>
      <c r="AA48" s="415"/>
      <c r="AB48" s="415"/>
      <c r="AC48" s="415"/>
      <c r="AD48" s="277"/>
      <c r="AE48" s="278"/>
      <c r="AF48" s="435"/>
      <c r="AG48" s="209"/>
      <c r="AH48" s="209"/>
      <c r="AI48" s="209"/>
      <c r="AJ48" s="209"/>
      <c r="AK48" s="209"/>
      <c r="AL48" s="209"/>
    </row>
    <row r="49" spans="1:38" s="255" customFormat="1" ht="21" x14ac:dyDescent="0.45">
      <c r="A49" s="224"/>
      <c r="B49" s="225"/>
      <c r="C49" s="225"/>
      <c r="D49" s="228"/>
      <c r="E49" s="226"/>
      <c r="F49" s="271"/>
      <c r="G49" s="272"/>
      <c r="H49" s="273"/>
      <c r="I49" s="273"/>
      <c r="J49" s="273"/>
      <c r="K49" s="273"/>
      <c r="L49" s="273"/>
      <c r="M49" s="273"/>
      <c r="N49" s="427"/>
      <c r="O49" s="413"/>
      <c r="P49" s="414"/>
      <c r="Q49" s="415"/>
      <c r="R49" s="415"/>
      <c r="S49" s="415"/>
      <c r="T49" s="415"/>
      <c r="U49" s="415"/>
      <c r="V49" s="415"/>
      <c r="W49" s="415"/>
      <c r="X49" s="415"/>
      <c r="Y49" s="415"/>
      <c r="Z49" s="415"/>
      <c r="AA49" s="415"/>
      <c r="AB49" s="415"/>
      <c r="AC49" s="415"/>
      <c r="AD49" s="466"/>
      <c r="AE49" s="466"/>
      <c r="AF49" s="435"/>
      <c r="AG49" s="209"/>
      <c r="AH49" s="209"/>
      <c r="AI49" s="209"/>
      <c r="AJ49" s="209"/>
      <c r="AK49" s="209"/>
      <c r="AL49" s="209"/>
    </row>
    <row r="50" spans="1:38" ht="21.6" x14ac:dyDescent="0.45">
      <c r="A50" s="448" t="s">
        <v>173</v>
      </c>
      <c r="B50" s="448"/>
      <c r="C50" s="448"/>
      <c r="D50" s="448"/>
      <c r="E50" s="448"/>
      <c r="F50" s="448"/>
      <c r="G50" s="448"/>
      <c r="H50" s="448"/>
      <c r="I50" s="448"/>
      <c r="J50" s="448"/>
      <c r="K50" s="448"/>
      <c r="L50" s="448"/>
      <c r="M50" s="448"/>
      <c r="N50" s="429"/>
      <c r="O50" s="429"/>
      <c r="AD50" s="279"/>
      <c r="AE50" s="214"/>
      <c r="AF50" s="435"/>
      <c r="AG50" s="209"/>
      <c r="AH50" s="209"/>
      <c r="AI50" s="209"/>
      <c r="AJ50" s="209"/>
      <c r="AK50" s="209"/>
      <c r="AL50" s="209"/>
    </row>
    <row r="51" spans="1:38" s="255" customFormat="1" ht="21" x14ac:dyDescent="0.45">
      <c r="A51" s="224"/>
      <c r="B51" s="225"/>
      <c r="C51" s="225"/>
      <c r="D51" s="252"/>
      <c r="E51" s="252"/>
      <c r="F51" s="252"/>
      <c r="G51" s="252"/>
      <c r="H51" s="252"/>
      <c r="I51" s="252"/>
      <c r="J51" s="252"/>
      <c r="K51" s="252"/>
      <c r="L51" s="252"/>
      <c r="M51" s="252"/>
      <c r="N51" s="413"/>
      <c r="O51" s="413"/>
      <c r="P51" s="414"/>
      <c r="Q51" s="415"/>
      <c r="R51" s="415"/>
      <c r="S51" s="415"/>
      <c r="T51" s="415"/>
      <c r="U51" s="415"/>
      <c r="V51" s="415"/>
      <c r="W51" s="415"/>
      <c r="X51" s="415"/>
      <c r="Y51" s="415"/>
      <c r="Z51" s="415"/>
      <c r="AA51" s="415"/>
      <c r="AB51" s="415"/>
      <c r="AC51" s="415"/>
      <c r="AD51" s="274"/>
      <c r="AE51" s="280"/>
      <c r="AF51" s="435"/>
      <c r="AG51" s="209"/>
      <c r="AH51" s="209"/>
      <c r="AI51" s="209"/>
      <c r="AJ51" s="209"/>
      <c r="AK51" s="209"/>
      <c r="AL51" s="209"/>
    </row>
    <row r="52" spans="1:38" s="255" customFormat="1" ht="21" x14ac:dyDescent="0.45">
      <c r="A52" s="224"/>
      <c r="B52" s="225"/>
      <c r="C52" s="225"/>
      <c r="D52" s="252"/>
      <c r="E52" s="252"/>
      <c r="F52" s="252"/>
      <c r="G52" s="252"/>
      <c r="H52" s="252"/>
      <c r="I52" s="252"/>
      <c r="J52" s="252"/>
      <c r="K52" s="252"/>
      <c r="L52" s="252"/>
      <c r="M52" s="252"/>
      <c r="N52" s="413"/>
      <c r="O52" s="413"/>
      <c r="P52" s="414"/>
      <c r="Q52" s="415"/>
      <c r="R52" s="415"/>
      <c r="S52" s="415"/>
      <c r="T52" s="415"/>
      <c r="U52" s="415"/>
      <c r="V52" s="415"/>
      <c r="W52" s="415"/>
      <c r="X52" s="415"/>
      <c r="Y52" s="415"/>
      <c r="Z52" s="415"/>
      <c r="AA52" s="415"/>
      <c r="AB52" s="415"/>
      <c r="AC52" s="415"/>
      <c r="AD52" s="274"/>
      <c r="AE52" s="280"/>
      <c r="AF52" s="435"/>
      <c r="AG52" s="209"/>
      <c r="AH52" s="209"/>
      <c r="AI52" s="209"/>
      <c r="AJ52" s="209"/>
      <c r="AK52" s="209"/>
      <c r="AL52" s="209"/>
    </row>
    <row r="53" spans="1:38" s="255" customFormat="1" ht="21" x14ac:dyDescent="0.45">
      <c r="A53" s="224"/>
      <c r="B53" s="225"/>
      <c r="C53" s="225"/>
      <c r="D53" s="252"/>
      <c r="E53" s="252"/>
      <c r="F53" s="252"/>
      <c r="G53" s="252"/>
      <c r="H53" s="252"/>
      <c r="I53" s="252"/>
      <c r="J53" s="252"/>
      <c r="K53" s="252"/>
      <c r="L53" s="252"/>
      <c r="M53" s="252"/>
      <c r="N53" s="413"/>
      <c r="O53" s="413"/>
      <c r="P53" s="414"/>
      <c r="Q53" s="415"/>
      <c r="R53" s="415"/>
      <c r="S53" s="415"/>
      <c r="T53" s="415"/>
      <c r="U53" s="415"/>
      <c r="V53" s="415"/>
      <c r="W53" s="415"/>
      <c r="X53" s="415"/>
      <c r="Y53" s="415"/>
      <c r="Z53" s="415"/>
      <c r="AA53" s="415"/>
      <c r="AB53" s="415"/>
      <c r="AC53" s="415"/>
      <c r="AF53" s="435"/>
      <c r="AG53" s="209"/>
      <c r="AH53" s="209"/>
      <c r="AI53" s="209"/>
      <c r="AJ53" s="209"/>
      <c r="AK53" s="209"/>
      <c r="AL53" s="209"/>
    </row>
    <row r="54" spans="1:38" s="255" customFormat="1" ht="21" x14ac:dyDescent="0.45">
      <c r="A54" s="224"/>
      <c r="B54" s="225"/>
      <c r="C54" s="225"/>
      <c r="D54" s="252"/>
      <c r="E54" s="252"/>
      <c r="F54" s="252"/>
      <c r="G54" s="252"/>
      <c r="H54" s="252"/>
      <c r="I54" s="252"/>
      <c r="J54" s="252"/>
      <c r="K54" s="252"/>
      <c r="L54" s="252"/>
      <c r="M54" s="252"/>
      <c r="N54" s="413"/>
      <c r="O54" s="413"/>
      <c r="P54" s="414"/>
      <c r="Q54" s="415"/>
      <c r="R54" s="415"/>
      <c r="S54" s="415"/>
      <c r="T54" s="415"/>
      <c r="U54" s="415"/>
      <c r="V54" s="415"/>
      <c r="W54" s="415"/>
      <c r="X54" s="415"/>
      <c r="Y54" s="415"/>
      <c r="Z54" s="415"/>
      <c r="AA54" s="415"/>
      <c r="AB54" s="415"/>
      <c r="AC54" s="415"/>
      <c r="AF54" s="435"/>
      <c r="AG54" s="209"/>
      <c r="AH54" s="209"/>
      <c r="AI54" s="209"/>
      <c r="AJ54" s="209"/>
      <c r="AK54" s="209"/>
      <c r="AL54" s="209"/>
    </row>
    <row r="55" spans="1:38" s="255" customFormat="1" ht="21" x14ac:dyDescent="0.3">
      <c r="A55" s="224"/>
      <c r="B55" s="225"/>
      <c r="C55" s="225"/>
      <c r="D55" s="252"/>
      <c r="E55" s="252"/>
      <c r="F55" s="252"/>
      <c r="G55" s="252"/>
      <c r="H55" s="252"/>
      <c r="I55" s="252"/>
      <c r="J55" s="252"/>
      <c r="K55" s="252"/>
      <c r="L55" s="252"/>
      <c r="M55" s="252"/>
      <c r="N55" s="413"/>
      <c r="O55" s="413"/>
      <c r="P55" s="414"/>
      <c r="Q55" s="415"/>
      <c r="R55" s="415"/>
      <c r="S55" s="415"/>
      <c r="T55" s="415"/>
      <c r="U55" s="415"/>
      <c r="V55" s="415"/>
      <c r="W55" s="415"/>
      <c r="X55" s="415"/>
      <c r="Y55" s="415"/>
      <c r="Z55" s="415"/>
      <c r="AA55" s="415"/>
      <c r="AB55" s="415"/>
      <c r="AC55" s="415"/>
      <c r="AF55" s="415"/>
    </row>
    <row r="56" spans="1:38" s="255" customFormat="1" ht="21" x14ac:dyDescent="0.3">
      <c r="A56" s="224"/>
      <c r="B56" s="225"/>
      <c r="C56" s="225"/>
      <c r="D56" s="252"/>
      <c r="E56" s="252"/>
      <c r="F56" s="252"/>
      <c r="G56" s="252"/>
      <c r="H56" s="252"/>
      <c r="I56" s="252"/>
      <c r="J56" s="252"/>
      <c r="K56" s="252"/>
      <c r="L56" s="252"/>
      <c r="M56" s="252"/>
      <c r="N56" s="413"/>
      <c r="O56" s="413"/>
      <c r="P56" s="414"/>
      <c r="Q56" s="415"/>
      <c r="R56" s="415"/>
      <c r="S56" s="415"/>
      <c r="T56" s="415"/>
      <c r="U56" s="415"/>
      <c r="V56" s="415"/>
      <c r="W56" s="415"/>
      <c r="X56" s="415"/>
      <c r="Y56" s="415"/>
      <c r="Z56" s="415"/>
      <c r="AA56" s="415"/>
      <c r="AB56" s="415"/>
      <c r="AC56" s="415"/>
      <c r="AF56" s="415"/>
    </row>
    <row r="57" spans="1:38" s="255" customFormat="1" ht="9.9" customHeight="1" x14ac:dyDescent="0.35">
      <c r="A57" s="224"/>
      <c r="B57" s="225"/>
      <c r="C57" s="225"/>
      <c r="D57" s="228"/>
      <c r="E57" s="226"/>
      <c r="F57" s="271"/>
      <c r="G57" s="272"/>
      <c r="H57" s="273"/>
      <c r="I57" s="273"/>
      <c r="J57" s="273"/>
      <c r="K57" s="273"/>
      <c r="L57" s="273"/>
      <c r="M57" s="273"/>
      <c r="N57" s="427"/>
      <c r="O57" s="413"/>
      <c r="P57" s="414"/>
      <c r="Q57" s="415"/>
      <c r="R57" s="415"/>
      <c r="S57" s="415"/>
      <c r="T57" s="415"/>
      <c r="U57" s="415"/>
      <c r="V57" s="415"/>
      <c r="W57" s="415"/>
      <c r="X57" s="415"/>
      <c r="Y57" s="415"/>
      <c r="Z57" s="415"/>
      <c r="AA57" s="415"/>
      <c r="AB57" s="415"/>
      <c r="AC57" s="415"/>
      <c r="AF57" s="415"/>
    </row>
    <row r="58" spans="1:38" s="255" customFormat="1" ht="9.9" customHeight="1" x14ac:dyDescent="0.35">
      <c r="A58" s="224"/>
      <c r="B58" s="225"/>
      <c r="C58" s="225"/>
      <c r="D58" s="228"/>
      <c r="E58" s="226"/>
      <c r="F58" s="271"/>
      <c r="G58" s="272"/>
      <c r="H58" s="273"/>
      <c r="I58" s="273"/>
      <c r="J58" s="273"/>
      <c r="K58" s="273"/>
      <c r="L58" s="273"/>
      <c r="M58" s="273"/>
      <c r="N58" s="427"/>
      <c r="O58" s="413"/>
      <c r="P58" s="414"/>
      <c r="Q58" s="415"/>
      <c r="R58" s="415"/>
      <c r="S58" s="415"/>
      <c r="T58" s="415"/>
      <c r="U58" s="415"/>
      <c r="V58" s="415"/>
      <c r="W58" s="415"/>
      <c r="X58" s="415"/>
      <c r="Y58" s="415"/>
      <c r="Z58" s="415"/>
      <c r="AA58" s="415"/>
      <c r="AB58" s="415"/>
      <c r="AC58" s="415"/>
      <c r="AF58" s="415"/>
    </row>
    <row r="59" spans="1:38" s="255" customFormat="1" ht="9.9" customHeight="1" x14ac:dyDescent="0.3">
      <c r="A59" s="449" t="s">
        <v>185</v>
      </c>
      <c r="B59" s="449"/>
      <c r="C59" s="449"/>
      <c r="D59" s="449"/>
      <c r="E59" s="449"/>
      <c r="F59" s="449"/>
      <c r="G59" s="449"/>
      <c r="H59" s="449"/>
      <c r="I59" s="449"/>
      <c r="J59" s="449"/>
      <c r="K59" s="449"/>
      <c r="L59" s="449"/>
      <c r="M59" s="449"/>
      <c r="N59" s="427"/>
      <c r="O59" s="413"/>
      <c r="P59" s="414"/>
      <c r="Q59" s="415"/>
      <c r="R59" s="415"/>
      <c r="S59" s="415"/>
      <c r="T59" s="415"/>
      <c r="U59" s="415"/>
      <c r="V59" s="415"/>
      <c r="W59" s="415"/>
      <c r="X59" s="415"/>
      <c r="Y59" s="415"/>
      <c r="Z59" s="415"/>
      <c r="AA59" s="415"/>
      <c r="AB59" s="415"/>
      <c r="AC59" s="415"/>
      <c r="AF59" s="415"/>
    </row>
    <row r="60" spans="1:38" s="255" customFormat="1" ht="9.9" customHeight="1" x14ac:dyDescent="0.3">
      <c r="A60" s="449"/>
      <c r="B60" s="449"/>
      <c r="C60" s="449"/>
      <c r="D60" s="449"/>
      <c r="E60" s="449"/>
      <c r="F60" s="449"/>
      <c r="G60" s="449"/>
      <c r="H60" s="449"/>
      <c r="I60" s="449"/>
      <c r="J60" s="449"/>
      <c r="K60" s="449"/>
      <c r="L60" s="449"/>
      <c r="M60" s="449"/>
      <c r="N60" s="427"/>
      <c r="O60" s="413"/>
      <c r="P60" s="414"/>
      <c r="Q60" s="415"/>
      <c r="R60" s="415"/>
      <c r="S60" s="415"/>
      <c r="T60" s="415"/>
      <c r="U60" s="415"/>
      <c r="V60" s="415"/>
      <c r="W60" s="415"/>
      <c r="X60" s="415"/>
      <c r="Y60" s="415"/>
      <c r="Z60" s="415"/>
      <c r="AA60" s="415"/>
      <c r="AB60" s="415"/>
      <c r="AC60" s="415"/>
      <c r="AF60" s="415"/>
    </row>
    <row r="61" spans="1:38" s="255" customFormat="1" ht="21" customHeight="1" x14ac:dyDescent="0.3">
      <c r="A61" s="449"/>
      <c r="B61" s="449"/>
      <c r="C61" s="449"/>
      <c r="D61" s="449"/>
      <c r="E61" s="449"/>
      <c r="F61" s="449"/>
      <c r="G61" s="449"/>
      <c r="H61" s="449"/>
      <c r="I61" s="449"/>
      <c r="J61" s="449"/>
      <c r="K61" s="449"/>
      <c r="L61" s="449"/>
      <c r="M61" s="449"/>
      <c r="N61" s="413"/>
      <c r="O61" s="413"/>
      <c r="P61" s="414"/>
      <c r="Q61" s="415"/>
      <c r="R61" s="415"/>
      <c r="S61" s="415"/>
      <c r="T61" s="415"/>
      <c r="U61" s="415"/>
      <c r="V61" s="415"/>
      <c r="W61" s="415"/>
      <c r="X61" s="415"/>
      <c r="Y61" s="415"/>
      <c r="Z61" s="415"/>
      <c r="AA61" s="415"/>
      <c r="AB61" s="415"/>
      <c r="AC61" s="415"/>
      <c r="AF61" s="415"/>
    </row>
    <row r="62" spans="1:38" s="255" customFormat="1" ht="24.6" customHeight="1" x14ac:dyDescent="0.3">
      <c r="A62" s="449"/>
      <c r="B62" s="449"/>
      <c r="C62" s="449"/>
      <c r="D62" s="449"/>
      <c r="E62" s="449"/>
      <c r="F62" s="449"/>
      <c r="G62" s="449"/>
      <c r="H62" s="449"/>
      <c r="I62" s="449"/>
      <c r="J62" s="449"/>
      <c r="K62" s="449"/>
      <c r="L62" s="449"/>
      <c r="M62" s="449"/>
      <c r="N62" s="413"/>
      <c r="O62" s="413"/>
      <c r="P62" s="414"/>
      <c r="Q62" s="415"/>
      <c r="R62" s="415"/>
      <c r="S62" s="415"/>
      <c r="T62" s="415"/>
      <c r="U62" s="415"/>
      <c r="V62" s="415"/>
      <c r="W62" s="415"/>
      <c r="X62" s="415"/>
      <c r="Y62" s="415"/>
      <c r="Z62" s="415"/>
      <c r="AA62" s="415"/>
      <c r="AB62" s="415"/>
      <c r="AC62" s="415"/>
      <c r="AF62" s="415"/>
    </row>
    <row r="63" spans="1:38" s="255" customFormat="1" ht="24.6" x14ac:dyDescent="0.3">
      <c r="A63" s="293"/>
      <c r="B63" s="293"/>
      <c r="C63" s="293"/>
      <c r="D63" s="293"/>
      <c r="E63" s="293"/>
      <c r="F63" s="293"/>
      <c r="G63" s="293"/>
      <c r="H63" s="293"/>
      <c r="I63" s="293"/>
      <c r="J63" s="293"/>
      <c r="K63" s="293"/>
      <c r="L63" s="293"/>
      <c r="M63" s="252"/>
      <c r="N63" s="413"/>
      <c r="O63" s="413"/>
      <c r="P63" s="414"/>
      <c r="Q63" s="415"/>
      <c r="R63" s="415"/>
      <c r="S63" s="415"/>
      <c r="T63" s="415"/>
      <c r="U63" s="415"/>
      <c r="V63" s="415"/>
      <c r="W63" s="415"/>
      <c r="X63" s="415"/>
      <c r="Y63" s="415"/>
      <c r="Z63" s="415"/>
      <c r="AA63" s="415"/>
      <c r="AB63" s="415"/>
      <c r="AC63" s="415"/>
      <c r="AF63" s="415"/>
    </row>
    <row r="64" spans="1:38" s="281" customFormat="1" ht="23.4" x14ac:dyDescent="0.4">
      <c r="A64" s="444"/>
      <c r="B64" s="444"/>
      <c r="C64" s="444"/>
      <c r="D64" s="444"/>
      <c r="E64" s="444"/>
      <c r="F64" s="444"/>
      <c r="G64" s="444"/>
      <c r="H64" s="444"/>
      <c r="I64" s="444"/>
      <c r="J64" s="444"/>
      <c r="K64" s="444"/>
      <c r="L64" s="444"/>
      <c r="M64" s="444"/>
      <c r="N64" s="430"/>
      <c r="O64" s="430"/>
      <c r="P64" s="431"/>
      <c r="Q64" s="431"/>
      <c r="R64" s="431"/>
      <c r="S64" s="431"/>
      <c r="T64" s="431"/>
      <c r="U64" s="431"/>
      <c r="V64" s="431"/>
      <c r="W64" s="431"/>
      <c r="X64" s="431"/>
      <c r="Y64" s="431"/>
      <c r="Z64" s="431"/>
      <c r="AA64" s="431"/>
      <c r="AB64" s="431"/>
      <c r="AC64" s="431"/>
      <c r="AF64" s="431"/>
    </row>
    <row r="65" spans="1:32" s="255" customFormat="1" ht="21" x14ac:dyDescent="0.3">
      <c r="A65" s="224"/>
      <c r="B65" s="225"/>
      <c r="C65" s="225"/>
      <c r="D65" s="252"/>
      <c r="E65" s="252"/>
      <c r="F65" s="252"/>
      <c r="G65" s="252"/>
      <c r="H65" s="252"/>
      <c r="I65" s="252"/>
      <c r="J65" s="252"/>
      <c r="K65" s="252"/>
      <c r="L65" s="252"/>
      <c r="M65" s="252"/>
      <c r="N65" s="413"/>
      <c r="O65" s="413"/>
      <c r="P65" s="414"/>
      <c r="Q65" s="415"/>
      <c r="R65" s="415"/>
      <c r="S65" s="415"/>
      <c r="T65" s="415"/>
      <c r="U65" s="415"/>
      <c r="V65" s="415"/>
      <c r="W65" s="415"/>
      <c r="X65" s="415"/>
      <c r="Y65" s="415"/>
      <c r="Z65" s="415"/>
      <c r="AA65" s="415"/>
      <c r="AB65" s="415"/>
      <c r="AC65" s="415"/>
      <c r="AF65" s="415"/>
    </row>
    <row r="66" spans="1:32" ht="21" x14ac:dyDescent="0.4">
      <c r="A66" s="224"/>
      <c r="B66" s="237"/>
      <c r="C66" s="225"/>
      <c r="D66" s="238"/>
      <c r="E66" s="238"/>
      <c r="F66" s="238"/>
      <c r="G66" s="238"/>
      <c r="H66" s="238"/>
      <c r="I66" s="238"/>
      <c r="J66" s="238"/>
      <c r="K66" s="238"/>
      <c r="L66" s="238"/>
      <c r="M66" s="238"/>
      <c r="N66" s="429"/>
      <c r="O66" s="429"/>
    </row>
  </sheetData>
  <mergeCells count="33">
    <mergeCell ref="AD49:AE49"/>
    <mergeCell ref="F26:G26"/>
    <mergeCell ref="F28:G28"/>
    <mergeCell ref="F21:G21"/>
    <mergeCell ref="F37:G37"/>
    <mergeCell ref="F32:G32"/>
    <mergeCell ref="H23:I23"/>
    <mergeCell ref="L23:M23"/>
    <mergeCell ref="B23:G24"/>
    <mergeCell ref="H24:I24"/>
    <mergeCell ref="B34:E34"/>
    <mergeCell ref="B31:E31"/>
    <mergeCell ref="AF5:AP5"/>
    <mergeCell ref="AF6:AH6"/>
    <mergeCell ref="AF7:AH7"/>
    <mergeCell ref="K13:M13"/>
    <mergeCell ref="A7:M7"/>
    <mergeCell ref="K11:M11"/>
    <mergeCell ref="K9:M9"/>
    <mergeCell ref="B13:I13"/>
    <mergeCell ref="K15:M15"/>
    <mergeCell ref="A64:M64"/>
    <mergeCell ref="A29:M29"/>
    <mergeCell ref="L24:M24"/>
    <mergeCell ref="F31:G31"/>
    <mergeCell ref="A50:M50"/>
    <mergeCell ref="A59:M62"/>
    <mergeCell ref="A36:M36"/>
    <mergeCell ref="F34:G34"/>
    <mergeCell ref="B17:I17"/>
    <mergeCell ref="K17:M17"/>
    <mergeCell ref="B32:E32"/>
    <mergeCell ref="B15:I15"/>
  </mergeCells>
  <phoneticPr fontId="2" type="noConversion"/>
  <dataValidations xWindow="540" yWindow="789" count="7">
    <dataValidation type="decimal" showInputMessage="1" showErrorMessage="1" sqref="N13:O13" xr:uid="{00000000-0002-0000-0100-000000000000}">
      <formula1>0</formula1>
      <formula2>1500</formula2>
    </dataValidation>
    <dataValidation type="list" allowBlank="1" showInputMessage="1" showErrorMessage="1" sqref="K11 M11:O11" xr:uid="{00000000-0002-0000-0100-000001000000}">
      <formula1>Status</formula1>
    </dataValidation>
    <dataValidation type="list" allowBlank="1" showInputMessage="1" showErrorMessage="1" sqref="E20:O20 K15 N15:O15" xr:uid="{00000000-0002-0000-0100-000002000000}">
      <formula1>YesNo</formula1>
    </dataValidation>
    <dataValidation type="whole" allowBlank="1" showInputMessage="1" showErrorMessage="1" sqref="N31:O32 N64:O64 K32:L32 N50:O50 N36:O37 L34 N34:O34 N28:O29 N23:O24 N26:O26 N21:O21" xr:uid="{00000000-0002-0000-0100-000003000000}">
      <formula1>0</formula1>
      <formula2>366</formula2>
    </dataValidation>
    <dataValidation type="list" allowBlank="1" showInputMessage="1" showErrorMessage="1" sqref="K9 M9" xr:uid="{00000000-0002-0000-0100-000006000000}">
      <formula1>units</formula1>
    </dataValidation>
    <dataValidation type="decimal" showInputMessage="1" showErrorMessage="1" sqref="K13" xr:uid="{ED58C57D-EDD7-4FC8-891D-8877E1D82653}">
      <formula1>0</formula1>
      <formula2>3000</formula2>
    </dataValidation>
    <dataValidation type="whole" showInputMessage="1" showErrorMessage="1" prompt="You must input a number between 0 and 366 in this cell." sqref="D66:O66" xr:uid="{00000000-0002-0000-0100-000005000000}">
      <formula1>0</formula1>
      <formula2>366</formula2>
    </dataValidation>
  </dataValidations>
  <printOptions horizontalCentered="1"/>
  <pageMargins left="0.32" right="0.33" top="0.18" bottom="0.19" header="0.17" footer="0.2"/>
  <pageSetup scale="61" orientation="portrait" r:id="rId1"/>
  <headerFooter alignWithMargins="0">
    <oddFooter>&amp;R&amp;"Aptos,Regular"Printed: &amp;D, &amp;T</oddFooter>
  </headerFooter>
  <drawing r:id="rId2"/>
  <extLst>
    <ext xmlns:x14="http://schemas.microsoft.com/office/spreadsheetml/2009/9/main" uri="{CCE6A557-97BC-4b89-ADB6-D9C93CAAB3DF}">
      <x14:dataValidations xmlns:xm="http://schemas.microsoft.com/office/excel/2006/main" xWindow="540" yWindow="789" count="2">
        <x14:dataValidation type="list" allowBlank="1" showInputMessage="1" showErrorMessage="1" xr:uid="{104E4BC5-0576-46B9-935C-EDC530E58218}">
          <x14:formula1>
            <xm:f>MasterMenu!$E$2:$K$2</xm:f>
          </x14:formula1>
          <xm:sqref>K17:M17</xm:sqref>
        </x14:dataValidation>
        <x14:dataValidation type="list" allowBlank="1" showInputMessage="1" showErrorMessage="1" xr:uid="{00000000-0002-0000-0100-000007000000}">
          <x14:formula1>
            <xm:f>UnitMenu!$A$2:$A$6</xm:f>
          </x14:formula1>
          <xm:sqref>N9:O9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D64FC-FF15-4D4A-B5BC-37B1C34C4079}">
  <sheetPr codeName="Sheet10">
    <pageSetUpPr fitToPage="1"/>
  </sheetPr>
  <dimension ref="A2:AH49"/>
  <sheetViews>
    <sheetView showGridLines="0" topLeftCell="A29" zoomScale="55" zoomScaleNormal="55" workbookViewId="0">
      <selection activeCell="E46" sqref="E46"/>
    </sheetView>
  </sheetViews>
  <sheetFormatPr defaultColWidth="9.109375" defaultRowHeight="15.6" x14ac:dyDescent="0.3"/>
  <cols>
    <col min="1" max="2" width="3.6640625" style="239" customWidth="1"/>
    <col min="3" max="3" width="72.5546875" style="240" customWidth="1"/>
    <col min="4" max="4" width="17" style="228" customWidth="1"/>
    <col min="5" max="5" width="15" style="228" customWidth="1"/>
    <col min="6" max="6" width="2" style="228" customWidth="1"/>
    <col min="7" max="7" width="15" style="228" customWidth="1"/>
    <col min="8" max="8" width="2" style="228" customWidth="1"/>
    <col min="9" max="9" width="15" style="228" customWidth="1"/>
    <col min="10" max="10" width="2" style="228" customWidth="1"/>
    <col min="11" max="11" width="15" style="228" customWidth="1"/>
    <col min="12" max="12" width="2" style="228" customWidth="1"/>
    <col min="13" max="13" width="15" style="228" customWidth="1"/>
    <col min="14" max="14" width="2" style="228" customWidth="1"/>
    <col min="15" max="15" width="15" style="228" customWidth="1"/>
    <col min="16" max="16" width="4.109375" style="228" hidden="1" customWidth="1"/>
    <col min="17" max="17" width="2.6640625" style="228" hidden="1" customWidth="1"/>
    <col min="18" max="18" width="13.109375" style="227" hidden="1" customWidth="1"/>
    <col min="19" max="19" width="9.109375" style="227" hidden="1" customWidth="1"/>
    <col min="20" max="20" width="14.88671875" style="227" hidden="1" customWidth="1"/>
    <col min="21" max="21" width="10.44140625" style="227" hidden="1" customWidth="1"/>
    <col min="22" max="26" width="9.109375" style="227" hidden="1" customWidth="1"/>
    <col min="27" max="27" width="9.109375" style="228" hidden="1" customWidth="1"/>
    <col min="28" max="33" width="9.109375" style="228" customWidth="1"/>
    <col min="34" max="35" width="9.109375" style="228"/>
    <col min="36" max="36" width="17.33203125" style="228" customWidth="1"/>
    <col min="37" max="43" width="13.5546875" style="228" customWidth="1"/>
    <col min="44" max="16384" width="9.109375" style="228"/>
  </cols>
  <sheetData>
    <row r="2" spans="1:34" s="217" customFormat="1" ht="30" customHeight="1" x14ac:dyDescent="0.3">
      <c r="A2" s="456"/>
      <c r="B2" s="456"/>
      <c r="C2" s="456"/>
      <c r="D2" s="456"/>
      <c r="E2" s="456"/>
      <c r="F2" s="456"/>
      <c r="G2" s="456"/>
      <c r="H2" s="456"/>
      <c r="I2" s="456"/>
      <c r="J2" s="456"/>
      <c r="K2" s="456"/>
      <c r="L2" s="456"/>
      <c r="M2" s="456"/>
      <c r="N2" s="216"/>
      <c r="R2" s="218"/>
      <c r="S2" s="218"/>
      <c r="T2" s="218"/>
      <c r="U2" s="218"/>
      <c r="V2" s="218"/>
      <c r="W2" s="218"/>
      <c r="X2" s="218"/>
      <c r="Y2" s="218"/>
      <c r="Z2" s="218"/>
    </row>
    <row r="3" spans="1:34" s="220" customFormat="1" ht="40.5" customHeight="1" x14ac:dyDescent="0.3">
      <c r="A3" s="457"/>
      <c r="B3" s="457"/>
      <c r="C3" s="457"/>
      <c r="D3" s="457"/>
      <c r="E3" s="219"/>
      <c r="F3" s="219"/>
      <c r="G3" s="219"/>
      <c r="H3" s="219"/>
      <c r="I3" s="219"/>
      <c r="J3" s="219"/>
      <c r="K3" s="219"/>
      <c r="L3" s="219"/>
      <c r="M3" s="219"/>
      <c r="N3" s="219"/>
      <c r="R3" s="221"/>
      <c r="S3" s="221"/>
      <c r="T3" s="221"/>
      <c r="U3" s="221"/>
      <c r="V3" s="221"/>
      <c r="W3" s="221"/>
      <c r="X3" s="221"/>
      <c r="Y3" s="221"/>
      <c r="Z3" s="221"/>
    </row>
    <row r="4" spans="1:34" s="217" customFormat="1" ht="24.75" customHeight="1" x14ac:dyDescent="0.3">
      <c r="A4" s="458"/>
      <c r="B4" s="458"/>
      <c r="C4" s="458"/>
      <c r="D4" s="458"/>
      <c r="E4" s="222"/>
      <c r="F4" s="222"/>
      <c r="G4" s="222"/>
      <c r="H4" s="222"/>
      <c r="I4" s="222"/>
      <c r="J4" s="222"/>
      <c r="K4" s="222"/>
      <c r="L4" s="222"/>
      <c r="M4" s="222"/>
      <c r="N4" s="222"/>
      <c r="R4" s="218"/>
      <c r="S4" s="218"/>
      <c r="T4" s="218"/>
      <c r="U4" s="218"/>
      <c r="V4" s="218"/>
      <c r="W4" s="218"/>
      <c r="X4" s="218"/>
      <c r="Y4" s="218"/>
      <c r="Z4" s="218"/>
    </row>
    <row r="9" spans="1:34" s="223" customFormat="1" ht="103.5" customHeight="1" x14ac:dyDescent="0.5">
      <c r="A9" s="471" t="s">
        <v>190</v>
      </c>
      <c r="B9" s="471"/>
      <c r="C9" s="471"/>
      <c r="D9" s="471"/>
      <c r="E9" s="471"/>
      <c r="F9" s="471"/>
      <c r="G9" s="471"/>
      <c r="H9" s="471"/>
      <c r="I9" s="471"/>
      <c r="J9" s="471"/>
      <c r="K9" s="471"/>
      <c r="L9" s="471"/>
      <c r="M9" s="471"/>
      <c r="N9" s="471"/>
      <c r="O9" s="471"/>
      <c r="P9" s="250"/>
      <c r="Q9" s="250"/>
      <c r="R9" s="251"/>
      <c r="S9" s="251"/>
      <c r="T9" s="251"/>
      <c r="U9" s="251"/>
      <c r="V9" s="251"/>
      <c r="W9" s="251"/>
      <c r="X9" s="251"/>
      <c r="Y9" s="251"/>
      <c r="Z9" s="251"/>
    </row>
    <row r="10" spans="1:34" s="255" customFormat="1" ht="9.9" customHeight="1" thickBot="1" x14ac:dyDescent="0.35">
      <c r="A10" s="224"/>
      <c r="B10" s="225"/>
      <c r="C10" s="225"/>
      <c r="D10" s="226"/>
      <c r="E10" s="228"/>
      <c r="F10" s="228"/>
      <c r="G10" s="226"/>
      <c r="H10" s="226"/>
      <c r="I10" s="226"/>
      <c r="J10" s="226"/>
      <c r="K10" s="226"/>
      <c r="L10" s="226"/>
      <c r="M10" s="252"/>
      <c r="N10" s="226"/>
      <c r="O10" s="252"/>
      <c r="P10" s="226"/>
      <c r="Q10" s="226"/>
      <c r="R10" s="253"/>
      <c r="S10" s="254"/>
      <c r="T10" s="254"/>
      <c r="U10" s="254"/>
      <c r="V10" s="254"/>
      <c r="W10" s="254"/>
      <c r="X10" s="254"/>
      <c r="Y10" s="254"/>
      <c r="Z10" s="254"/>
    </row>
    <row r="11" spans="1:34" s="223" customFormat="1" ht="25.8" thickBot="1" x14ac:dyDescent="0.55000000000000004">
      <c r="B11" s="245"/>
      <c r="C11" s="282" t="s">
        <v>191</v>
      </c>
      <c r="D11" s="472" t="s">
        <v>200</v>
      </c>
      <c r="E11" s="473"/>
      <c r="F11" s="473"/>
      <c r="G11" s="473"/>
      <c r="H11" s="473"/>
      <c r="I11" s="474"/>
      <c r="J11" s="283"/>
      <c r="K11" s="436"/>
      <c r="L11" s="437" t="s">
        <v>1</v>
      </c>
      <c r="M11" s="475">
        <f ca="1">+NOW()</f>
        <v>46142.646632523145</v>
      </c>
      <c r="N11" s="475"/>
      <c r="O11" s="475"/>
      <c r="P11" s="250"/>
      <c r="Q11" s="250"/>
      <c r="R11" s="251"/>
      <c r="S11" s="251"/>
      <c r="T11" s="251"/>
      <c r="U11" s="251"/>
      <c r="V11" s="251"/>
      <c r="W11" s="251"/>
      <c r="X11" s="251"/>
      <c r="Y11" s="251"/>
      <c r="Z11" s="251"/>
    </row>
    <row r="13" spans="1:34" s="255" customFormat="1" ht="9.9" customHeight="1" x14ac:dyDescent="0.3">
      <c r="A13" s="224"/>
      <c r="B13" s="225"/>
      <c r="C13" s="225"/>
      <c r="D13" s="226"/>
      <c r="E13" s="228"/>
      <c r="F13" s="228"/>
      <c r="G13" s="226"/>
      <c r="H13" s="226"/>
      <c r="I13" s="226"/>
      <c r="J13" s="226"/>
      <c r="K13" s="226"/>
      <c r="L13" s="226"/>
      <c r="M13" s="252"/>
      <c r="N13" s="226"/>
      <c r="O13" s="252"/>
      <c r="P13" s="226"/>
      <c r="Q13" s="226"/>
      <c r="R13" s="253"/>
      <c r="S13" s="254"/>
      <c r="T13" s="254"/>
      <c r="U13" s="254"/>
      <c r="V13" s="254"/>
      <c r="W13" s="254"/>
      <c r="X13" s="254"/>
      <c r="Y13" s="254"/>
      <c r="Z13" s="254"/>
    </row>
    <row r="14" spans="1:34" ht="117" customHeight="1" thickBot="1" x14ac:dyDescent="0.45">
      <c r="A14" s="224">
        <v>1</v>
      </c>
      <c r="B14" s="451" t="s">
        <v>183</v>
      </c>
      <c r="C14" s="451"/>
      <c r="D14" s="284" t="s">
        <v>13</v>
      </c>
      <c r="E14" s="247" t="s">
        <v>5</v>
      </c>
      <c r="F14" s="247"/>
      <c r="G14" s="247" t="s">
        <v>177</v>
      </c>
      <c r="H14" s="247"/>
      <c r="I14" s="247" t="s">
        <v>8</v>
      </c>
      <c r="J14" s="247"/>
      <c r="K14" s="247" t="s">
        <v>9</v>
      </c>
      <c r="L14" s="247"/>
      <c r="M14" s="247" t="s">
        <v>10</v>
      </c>
      <c r="N14" s="247"/>
      <c r="O14" s="247" t="s">
        <v>11</v>
      </c>
      <c r="P14" s="285"/>
      <c r="Q14" s="285"/>
      <c r="R14" s="248"/>
      <c r="S14" s="233"/>
      <c r="T14" s="233"/>
      <c r="U14" s="233"/>
      <c r="V14" s="233"/>
      <c r="AH14" s="255"/>
    </row>
    <row r="15" spans="1:34" s="287" customFormat="1" ht="21.9" customHeight="1" thickBot="1" x14ac:dyDescent="0.35">
      <c r="A15" s="224"/>
      <c r="B15" s="237" t="s">
        <v>14</v>
      </c>
      <c r="C15" s="225" t="s">
        <v>15</v>
      </c>
      <c r="D15" s="291">
        <v>150</v>
      </c>
      <c r="E15" s="370"/>
      <c r="F15" s="371"/>
      <c r="G15" s="370"/>
      <c r="H15" s="371"/>
      <c r="I15" s="370"/>
      <c r="J15" s="371"/>
      <c r="K15" s="370"/>
      <c r="L15" s="371"/>
      <c r="M15" s="370"/>
      <c r="N15" s="371"/>
      <c r="O15" s="370"/>
      <c r="P15" s="256"/>
      <c r="Q15" s="256"/>
      <c r="R15" s="286"/>
      <c r="S15" s="286"/>
      <c r="T15" s="286"/>
      <c r="U15" s="286"/>
      <c r="V15" s="286"/>
      <c r="W15" s="286"/>
      <c r="X15" s="286"/>
      <c r="Y15" s="286"/>
      <c r="Z15" s="286"/>
    </row>
    <row r="16" spans="1:34" s="255" customFormat="1" ht="9.9" customHeight="1" thickBot="1" x14ac:dyDescent="0.35">
      <c r="A16" s="224"/>
      <c r="B16" s="225"/>
      <c r="C16" s="225"/>
      <c r="D16" s="292"/>
      <c r="E16" s="372"/>
      <c r="F16" s="373"/>
      <c r="G16" s="372"/>
      <c r="H16" s="373"/>
      <c r="I16" s="372"/>
      <c r="J16" s="373"/>
      <c r="K16" s="372"/>
      <c r="L16" s="373"/>
      <c r="M16" s="372"/>
      <c r="N16" s="373"/>
      <c r="O16" s="372"/>
      <c r="P16" s="226"/>
      <c r="Q16" s="226"/>
      <c r="R16" s="253"/>
      <c r="S16" s="254"/>
      <c r="T16" s="254"/>
      <c r="U16" s="254"/>
      <c r="V16" s="254"/>
      <c r="W16" s="254"/>
      <c r="X16" s="254"/>
      <c r="Y16" s="254"/>
      <c r="Z16" s="254"/>
    </row>
    <row r="17" spans="1:26" ht="21.6" thickBot="1" x14ac:dyDescent="0.45">
      <c r="A17" s="224"/>
      <c r="B17" s="237" t="s">
        <v>16</v>
      </c>
      <c r="C17" s="225" t="s">
        <v>17</v>
      </c>
      <c r="D17" s="291">
        <v>25</v>
      </c>
      <c r="E17" s="370"/>
      <c r="F17" s="371"/>
      <c r="G17" s="370"/>
      <c r="H17" s="371"/>
      <c r="I17" s="370"/>
      <c r="J17" s="371"/>
      <c r="K17" s="370"/>
      <c r="L17" s="371"/>
      <c r="M17" s="370"/>
      <c r="N17" s="371"/>
      <c r="O17" s="370"/>
      <c r="P17" s="229"/>
      <c r="Q17" s="229"/>
    </row>
    <row r="18" spans="1:26" s="255" customFormat="1" ht="9.9" customHeight="1" thickBot="1" x14ac:dyDescent="0.35">
      <c r="A18" s="224"/>
      <c r="B18" s="225"/>
      <c r="C18" s="225"/>
      <c r="D18" s="292"/>
      <c r="E18" s="372"/>
      <c r="F18" s="373"/>
      <c r="G18" s="372"/>
      <c r="H18" s="373"/>
      <c r="I18" s="372"/>
      <c r="J18" s="373"/>
      <c r="K18" s="372"/>
      <c r="L18" s="373"/>
      <c r="M18" s="372"/>
      <c r="N18" s="373"/>
      <c r="O18" s="372"/>
      <c r="P18" s="226"/>
      <c r="Q18" s="226"/>
      <c r="R18" s="253"/>
      <c r="S18" s="254"/>
      <c r="T18" s="254"/>
      <c r="U18" s="254"/>
      <c r="V18" s="254"/>
      <c r="W18" s="254"/>
      <c r="X18" s="254"/>
      <c r="Y18" s="254"/>
      <c r="Z18" s="254"/>
    </row>
    <row r="19" spans="1:26" ht="21.9" customHeight="1" thickBot="1" x14ac:dyDescent="0.45">
      <c r="A19" s="224"/>
      <c r="B19" s="237" t="s">
        <v>18</v>
      </c>
      <c r="C19" s="225" t="s">
        <v>19</v>
      </c>
      <c r="D19" s="291">
        <v>0</v>
      </c>
      <c r="E19" s="370"/>
      <c r="F19" s="371"/>
      <c r="G19" s="370"/>
      <c r="H19" s="371"/>
      <c r="I19" s="370"/>
      <c r="J19" s="371"/>
      <c r="K19" s="370"/>
      <c r="L19" s="371"/>
      <c r="M19" s="370"/>
      <c r="N19" s="371"/>
      <c r="O19" s="370"/>
      <c r="P19" s="229"/>
      <c r="Q19" s="229"/>
    </row>
    <row r="20" spans="1:26" s="255" customFormat="1" ht="9.9" customHeight="1" thickBot="1" x14ac:dyDescent="0.35">
      <c r="A20" s="224"/>
      <c r="B20" s="225"/>
      <c r="C20" s="225"/>
      <c r="D20" s="292"/>
      <c r="E20" s="372"/>
      <c r="F20" s="373"/>
      <c r="G20" s="372"/>
      <c r="H20" s="373"/>
      <c r="I20" s="372"/>
      <c r="J20" s="373"/>
      <c r="K20" s="372"/>
      <c r="L20" s="373"/>
      <c r="M20" s="372"/>
      <c r="N20" s="373"/>
      <c r="O20" s="372"/>
      <c r="P20" s="226"/>
      <c r="Q20" s="226"/>
      <c r="R20" s="253"/>
      <c r="S20" s="254"/>
      <c r="T20" s="254"/>
      <c r="U20" s="254"/>
      <c r="V20" s="254"/>
      <c r="W20" s="254"/>
      <c r="X20" s="254"/>
      <c r="Y20" s="254"/>
      <c r="Z20" s="254"/>
    </row>
    <row r="21" spans="1:26" ht="21.9" customHeight="1" thickBot="1" x14ac:dyDescent="0.45">
      <c r="A21" s="224"/>
      <c r="B21" s="237" t="s">
        <v>20</v>
      </c>
      <c r="C21" s="225" t="s">
        <v>21</v>
      </c>
      <c r="D21" s="291">
        <v>200</v>
      </c>
      <c r="E21" s="370"/>
      <c r="F21" s="371"/>
      <c r="G21" s="370"/>
      <c r="H21" s="371"/>
      <c r="I21" s="370"/>
      <c r="J21" s="371"/>
      <c r="K21" s="370"/>
      <c r="L21" s="371"/>
      <c r="M21" s="370"/>
      <c r="N21" s="371"/>
      <c r="O21" s="370"/>
      <c r="P21" s="229"/>
      <c r="Q21" s="229"/>
    </row>
    <row r="22" spans="1:26" s="255" customFormat="1" ht="9.9" customHeight="1" thickBot="1" x14ac:dyDescent="0.35">
      <c r="A22" s="224"/>
      <c r="B22" s="225"/>
      <c r="C22" s="225"/>
      <c r="D22" s="292"/>
      <c r="E22" s="372"/>
      <c r="F22" s="373"/>
      <c r="G22" s="372"/>
      <c r="H22" s="373"/>
      <c r="I22" s="372"/>
      <c r="J22" s="373"/>
      <c r="K22" s="372"/>
      <c r="L22" s="373"/>
      <c r="M22" s="372"/>
      <c r="N22" s="373"/>
      <c r="O22" s="372"/>
      <c r="P22" s="226"/>
      <c r="Q22" s="226"/>
      <c r="R22" s="253"/>
      <c r="S22" s="254"/>
      <c r="T22" s="254"/>
      <c r="U22" s="254"/>
      <c r="V22" s="254"/>
      <c r="W22" s="254"/>
      <c r="X22" s="254"/>
      <c r="Y22" s="254"/>
      <c r="Z22" s="254"/>
    </row>
    <row r="23" spans="1:26" ht="44.1" customHeight="1" thickBot="1" x14ac:dyDescent="0.45">
      <c r="A23" s="224"/>
      <c r="B23" s="237" t="s">
        <v>22</v>
      </c>
      <c r="C23" s="225" t="s">
        <v>23</v>
      </c>
      <c r="D23" s="291">
        <v>300</v>
      </c>
      <c r="E23" s="370"/>
      <c r="F23" s="371"/>
      <c r="G23" s="370"/>
      <c r="H23" s="371"/>
      <c r="I23" s="370"/>
      <c r="J23" s="371"/>
      <c r="K23" s="370"/>
      <c r="L23" s="371"/>
      <c r="M23" s="370"/>
      <c r="N23" s="371"/>
      <c r="O23" s="370"/>
      <c r="P23" s="229"/>
      <c r="Q23" s="229"/>
    </row>
    <row r="24" spans="1:26" s="255" customFormat="1" ht="9.9" customHeight="1" thickBot="1" x14ac:dyDescent="0.35">
      <c r="A24" s="224"/>
      <c r="B24" s="225"/>
      <c r="C24" s="225"/>
      <c r="D24" s="292"/>
      <c r="E24" s="372"/>
      <c r="F24" s="373"/>
      <c r="G24" s="372"/>
      <c r="H24" s="373"/>
      <c r="I24" s="372"/>
      <c r="J24" s="373"/>
      <c r="K24" s="372"/>
      <c r="L24" s="373"/>
      <c r="M24" s="372"/>
      <c r="N24" s="373"/>
      <c r="O24" s="372"/>
      <c r="P24" s="226"/>
      <c r="Q24" s="226"/>
      <c r="R24" s="253"/>
      <c r="S24" s="254"/>
      <c r="T24" s="254"/>
      <c r="U24" s="254"/>
      <c r="V24" s="254"/>
      <c r="W24" s="254"/>
      <c r="X24" s="254"/>
      <c r="Y24" s="254"/>
      <c r="Z24" s="254"/>
    </row>
    <row r="25" spans="1:26" ht="44.1" customHeight="1" thickBot="1" x14ac:dyDescent="0.45">
      <c r="A25" s="224"/>
      <c r="B25" s="237" t="s">
        <v>24</v>
      </c>
      <c r="C25" s="225" t="s">
        <v>25</v>
      </c>
      <c r="D25" s="291">
        <v>150</v>
      </c>
      <c r="E25" s="370"/>
      <c r="F25" s="371"/>
      <c r="G25" s="370"/>
      <c r="H25" s="371"/>
      <c r="I25" s="370"/>
      <c r="J25" s="371"/>
      <c r="K25" s="370"/>
      <c r="L25" s="371"/>
      <c r="M25" s="370"/>
      <c r="N25" s="371"/>
      <c r="O25" s="370"/>
      <c r="P25" s="229"/>
      <c r="Q25" s="229"/>
    </row>
    <row r="26" spans="1:26" s="255" customFormat="1" ht="9.9" customHeight="1" thickBot="1" x14ac:dyDescent="0.35">
      <c r="A26" s="224"/>
      <c r="B26" s="225"/>
      <c r="C26" s="225"/>
      <c r="D26" s="292"/>
      <c r="E26" s="372"/>
      <c r="F26" s="373"/>
      <c r="G26" s="372"/>
      <c r="H26" s="373"/>
      <c r="I26" s="372"/>
      <c r="J26" s="373"/>
      <c r="K26" s="372"/>
      <c r="L26" s="373"/>
      <c r="M26" s="372"/>
      <c r="N26" s="373"/>
      <c r="O26" s="372"/>
      <c r="P26" s="226"/>
      <c r="Q26" s="226"/>
      <c r="R26" s="253"/>
      <c r="S26" s="254"/>
      <c r="T26" s="254"/>
      <c r="U26" s="254"/>
      <c r="V26" s="254"/>
      <c r="W26" s="254"/>
      <c r="X26" s="254"/>
      <c r="Y26" s="254"/>
      <c r="Z26" s="254"/>
    </row>
    <row r="27" spans="1:26" ht="21.9" customHeight="1" thickBot="1" x14ac:dyDescent="0.45">
      <c r="A27" s="224"/>
      <c r="B27" s="237" t="s">
        <v>26</v>
      </c>
      <c r="C27" s="225" t="s">
        <v>27</v>
      </c>
      <c r="D27" s="291">
        <v>40000</v>
      </c>
      <c r="E27" s="370"/>
      <c r="F27" s="371"/>
      <c r="G27" s="370"/>
      <c r="H27" s="371"/>
      <c r="I27" s="370"/>
      <c r="J27" s="371"/>
      <c r="K27" s="370"/>
      <c r="L27" s="371"/>
      <c r="M27" s="370"/>
      <c r="N27" s="371"/>
      <c r="O27" s="370"/>
      <c r="P27" s="229"/>
      <c r="Q27" s="229"/>
    </row>
    <row r="28" spans="1:26" s="255" customFormat="1" ht="9.9" customHeight="1" thickBot="1" x14ac:dyDescent="0.35">
      <c r="A28" s="224"/>
      <c r="B28" s="225"/>
      <c r="C28" s="225"/>
      <c r="D28" s="292"/>
      <c r="E28" s="372"/>
      <c r="F28" s="373"/>
      <c r="G28" s="372"/>
      <c r="H28" s="373"/>
      <c r="I28" s="372"/>
      <c r="J28" s="373"/>
      <c r="K28" s="372"/>
      <c r="L28" s="373"/>
      <c r="M28" s="372"/>
      <c r="N28" s="373"/>
      <c r="O28" s="372"/>
      <c r="P28" s="226"/>
      <c r="Q28" s="226"/>
      <c r="R28" s="253"/>
      <c r="S28" s="254"/>
      <c r="T28" s="254"/>
      <c r="U28" s="254"/>
      <c r="V28" s="254"/>
      <c r="W28" s="254"/>
      <c r="X28" s="254"/>
      <c r="Y28" s="254"/>
      <c r="Z28" s="254"/>
    </row>
    <row r="29" spans="1:26" ht="21.9" customHeight="1" thickBot="1" x14ac:dyDescent="0.45">
      <c r="A29" s="224"/>
      <c r="B29" s="237" t="s">
        <v>28</v>
      </c>
      <c r="C29" s="225" t="s">
        <v>29</v>
      </c>
      <c r="D29" s="291">
        <v>4000</v>
      </c>
      <c r="E29" s="370"/>
      <c r="F29" s="371"/>
      <c r="G29" s="370"/>
      <c r="H29" s="371"/>
      <c r="I29" s="370"/>
      <c r="J29" s="371"/>
      <c r="K29" s="370"/>
      <c r="L29" s="371"/>
      <c r="M29" s="370"/>
      <c r="N29" s="371"/>
      <c r="O29" s="370"/>
      <c r="P29" s="229"/>
      <c r="Q29" s="229"/>
    </row>
    <row r="30" spans="1:26" s="255" customFormat="1" ht="9.9" customHeight="1" thickBot="1" x14ac:dyDescent="0.35">
      <c r="A30" s="224"/>
      <c r="B30" s="225"/>
      <c r="C30" s="225"/>
      <c r="D30" s="292"/>
      <c r="E30" s="372"/>
      <c r="F30" s="373"/>
      <c r="G30" s="372"/>
      <c r="H30" s="373"/>
      <c r="I30" s="372"/>
      <c r="J30" s="373"/>
      <c r="K30" s="372"/>
      <c r="L30" s="373"/>
      <c r="M30" s="372"/>
      <c r="N30" s="373"/>
      <c r="O30" s="372"/>
      <c r="P30" s="226"/>
      <c r="Q30" s="226"/>
      <c r="R30" s="253"/>
      <c r="S30" s="254"/>
      <c r="T30" s="254"/>
      <c r="U30" s="254"/>
      <c r="V30" s="254"/>
      <c r="W30" s="254"/>
      <c r="X30" s="254"/>
      <c r="Y30" s="254"/>
      <c r="Z30" s="254"/>
    </row>
    <row r="31" spans="1:26" ht="87.75" customHeight="1" thickBot="1" x14ac:dyDescent="0.45">
      <c r="A31" s="224"/>
      <c r="B31" s="237" t="s">
        <v>30</v>
      </c>
      <c r="C31" s="225" t="s">
        <v>182</v>
      </c>
      <c r="D31" s="291" t="s">
        <v>31</v>
      </c>
      <c r="E31" s="370"/>
      <c r="F31" s="380"/>
      <c r="G31" s="370"/>
      <c r="H31" s="380"/>
      <c r="I31" s="370"/>
      <c r="J31" s="380"/>
      <c r="K31" s="370"/>
      <c r="L31" s="380"/>
      <c r="M31" s="370"/>
      <c r="N31" s="380"/>
      <c r="O31" s="370"/>
      <c r="P31" s="288"/>
      <c r="Q31" s="288"/>
    </row>
    <row r="32" spans="1:26" s="255" customFormat="1" ht="9.9" customHeight="1" thickBot="1" x14ac:dyDescent="0.35">
      <c r="A32" s="224"/>
      <c r="B32" s="225"/>
      <c r="C32" s="225"/>
      <c r="D32" s="292"/>
      <c r="E32" s="372"/>
      <c r="F32" s="381"/>
      <c r="G32" s="372"/>
      <c r="H32" s="381"/>
      <c r="I32" s="372"/>
      <c r="J32" s="381"/>
      <c r="K32" s="372"/>
      <c r="L32" s="381"/>
      <c r="M32" s="372"/>
      <c r="N32" s="381"/>
      <c r="O32" s="372"/>
      <c r="P32" s="226"/>
      <c r="Q32" s="226"/>
      <c r="R32" s="253"/>
      <c r="S32" s="254"/>
      <c r="T32" s="254"/>
      <c r="U32" s="254"/>
      <c r="V32" s="254"/>
      <c r="W32" s="254"/>
      <c r="X32" s="254"/>
      <c r="Y32" s="254"/>
      <c r="Z32" s="254"/>
    </row>
    <row r="33" spans="1:26" ht="65.099999999999994" customHeight="1" thickBot="1" x14ac:dyDescent="0.45">
      <c r="A33" s="224"/>
      <c r="B33" s="237" t="s">
        <v>32</v>
      </c>
      <c r="C33" s="225" t="s">
        <v>33</v>
      </c>
      <c r="D33" s="291">
        <v>30000</v>
      </c>
      <c r="E33" s="370"/>
      <c r="F33" s="380"/>
      <c r="G33" s="370"/>
      <c r="H33" s="380"/>
      <c r="I33" s="370"/>
      <c r="J33" s="380"/>
      <c r="K33" s="370"/>
      <c r="L33" s="380"/>
      <c r="M33" s="370"/>
      <c r="N33" s="380"/>
      <c r="O33" s="370"/>
      <c r="P33" s="229"/>
      <c r="Q33" s="229"/>
    </row>
    <row r="34" spans="1:26" s="255" customFormat="1" ht="9.9" customHeight="1" x14ac:dyDescent="0.3">
      <c r="A34" s="224"/>
      <c r="B34" s="225"/>
      <c r="C34" s="225"/>
      <c r="D34" s="292"/>
      <c r="E34" s="372"/>
      <c r="F34" s="373"/>
      <c r="G34" s="372"/>
      <c r="H34" s="373"/>
      <c r="I34" s="372"/>
      <c r="J34" s="373"/>
      <c r="K34" s="372"/>
      <c r="L34" s="373"/>
      <c r="M34" s="372"/>
      <c r="N34" s="373"/>
      <c r="O34" s="372"/>
      <c r="P34" s="226"/>
      <c r="Q34" s="226"/>
      <c r="R34" s="253"/>
      <c r="S34" s="254"/>
      <c r="T34" s="254"/>
      <c r="U34" s="254"/>
      <c r="V34" s="254"/>
      <c r="W34" s="254"/>
      <c r="X34" s="254"/>
      <c r="Y34" s="254"/>
      <c r="Z34" s="254"/>
    </row>
    <row r="35" spans="1:26" ht="62.25" customHeight="1" thickBot="1" x14ac:dyDescent="0.45">
      <c r="A35" s="224">
        <v>2</v>
      </c>
      <c r="B35" s="451" t="s">
        <v>181</v>
      </c>
      <c r="C35" s="451"/>
      <c r="D35" s="220"/>
      <c r="E35" s="372"/>
      <c r="F35" s="373"/>
      <c r="G35" s="372"/>
      <c r="H35" s="373"/>
      <c r="I35" s="372"/>
      <c r="J35" s="373"/>
      <c r="K35" s="372"/>
      <c r="L35" s="373"/>
      <c r="M35" s="372"/>
      <c r="N35" s="373"/>
      <c r="O35" s="372"/>
      <c r="P35" s="229"/>
      <c r="Q35" s="229"/>
    </row>
    <row r="36" spans="1:26" ht="44.1" customHeight="1" thickBot="1" x14ac:dyDescent="0.45">
      <c r="A36" s="224"/>
      <c r="B36" s="237" t="s">
        <v>14</v>
      </c>
      <c r="C36" s="225" t="s">
        <v>34</v>
      </c>
      <c r="D36" s="291">
        <v>15</v>
      </c>
      <c r="E36" s="370"/>
      <c r="F36" s="371"/>
      <c r="G36" s="370"/>
      <c r="H36" s="371"/>
      <c r="I36" s="370"/>
      <c r="J36" s="371"/>
      <c r="K36" s="370"/>
      <c r="L36" s="371"/>
      <c r="M36" s="370"/>
      <c r="N36" s="371"/>
      <c r="O36" s="370"/>
      <c r="P36" s="229"/>
      <c r="Q36" s="229"/>
    </row>
    <row r="37" spans="1:26" s="255" customFormat="1" ht="9.9" customHeight="1" thickBot="1" x14ac:dyDescent="0.35">
      <c r="A37" s="224"/>
      <c r="B37" s="225"/>
      <c r="C37" s="225"/>
      <c r="D37" s="291"/>
      <c r="E37" s="372"/>
      <c r="F37" s="373"/>
      <c r="G37" s="372"/>
      <c r="H37" s="373"/>
      <c r="I37" s="372"/>
      <c r="J37" s="373"/>
      <c r="K37" s="372"/>
      <c r="L37" s="373"/>
      <c r="M37" s="372"/>
      <c r="N37" s="373"/>
      <c r="O37" s="372"/>
      <c r="P37" s="226"/>
      <c r="Q37" s="226"/>
      <c r="R37" s="253"/>
      <c r="S37" s="254"/>
      <c r="T37" s="254"/>
      <c r="U37" s="254"/>
      <c r="V37" s="254"/>
      <c r="W37" s="254"/>
      <c r="X37" s="254"/>
      <c r="Y37" s="254"/>
      <c r="Z37" s="254"/>
    </row>
    <row r="38" spans="1:26" ht="65.099999999999994" customHeight="1" thickBot="1" x14ac:dyDescent="0.45">
      <c r="A38" s="224"/>
      <c r="B38" s="237" t="s">
        <v>16</v>
      </c>
      <c r="C38" s="225" t="s">
        <v>35</v>
      </c>
      <c r="D38" s="291">
        <v>20</v>
      </c>
      <c r="E38" s="370"/>
      <c r="F38" s="371"/>
      <c r="G38" s="370"/>
      <c r="H38" s="371"/>
      <c r="I38" s="370"/>
      <c r="J38" s="371"/>
      <c r="K38" s="370"/>
      <c r="L38" s="371"/>
      <c r="M38" s="370"/>
      <c r="N38" s="371"/>
      <c r="O38" s="370"/>
      <c r="P38" s="229"/>
      <c r="Q38" s="229"/>
    </row>
    <row r="39" spans="1:26" s="255" customFormat="1" ht="9.9" customHeight="1" thickBot="1" x14ac:dyDescent="0.35">
      <c r="A39" s="224"/>
      <c r="B39" s="225"/>
      <c r="C39" s="225"/>
      <c r="D39" s="291"/>
      <c r="E39" s="372"/>
      <c r="F39" s="373"/>
      <c r="G39" s="372"/>
      <c r="H39" s="373"/>
      <c r="I39" s="372"/>
      <c r="J39" s="373"/>
      <c r="K39" s="372"/>
      <c r="L39" s="373"/>
      <c r="M39" s="372"/>
      <c r="N39" s="373"/>
      <c r="O39" s="372"/>
      <c r="P39" s="226"/>
      <c r="Q39" s="226"/>
      <c r="R39" s="253"/>
      <c r="S39" s="254"/>
      <c r="T39" s="254"/>
      <c r="U39" s="254"/>
      <c r="V39" s="254"/>
      <c r="W39" s="254"/>
      <c r="X39" s="254"/>
      <c r="Y39" s="254"/>
      <c r="Z39" s="254"/>
    </row>
    <row r="40" spans="1:26" ht="65.099999999999994" customHeight="1" thickBot="1" x14ac:dyDescent="0.45">
      <c r="A40" s="224"/>
      <c r="B40" s="237" t="s">
        <v>18</v>
      </c>
      <c r="C40" s="225" t="s">
        <v>36</v>
      </c>
      <c r="D40" s="291">
        <v>250</v>
      </c>
      <c r="E40" s="370"/>
      <c r="F40" s="371"/>
      <c r="G40" s="370"/>
      <c r="H40" s="371"/>
      <c r="I40" s="370"/>
      <c r="J40" s="371"/>
      <c r="K40" s="370"/>
      <c r="L40" s="371"/>
      <c r="M40" s="370"/>
      <c r="N40" s="371"/>
      <c r="O40" s="370"/>
      <c r="P40" s="229"/>
      <c r="Q40" s="229"/>
    </row>
    <row r="41" spans="1:26" s="255" customFormat="1" ht="9.9" customHeight="1" thickBot="1" x14ac:dyDescent="0.35">
      <c r="A41" s="224"/>
      <c r="B41" s="225"/>
      <c r="C41" s="225"/>
      <c r="D41" s="291"/>
      <c r="E41" s="372"/>
      <c r="F41" s="373"/>
      <c r="G41" s="372"/>
      <c r="H41" s="373"/>
      <c r="I41" s="372"/>
      <c r="J41" s="373"/>
      <c r="K41" s="372"/>
      <c r="L41" s="373"/>
      <c r="M41" s="372"/>
      <c r="N41" s="373"/>
      <c r="O41" s="372"/>
      <c r="P41" s="226"/>
      <c r="Q41" s="226"/>
      <c r="R41" s="253"/>
      <c r="S41" s="254"/>
      <c r="T41" s="254"/>
      <c r="U41" s="254"/>
      <c r="V41" s="254"/>
      <c r="W41" s="254"/>
      <c r="X41" s="254"/>
      <c r="Y41" s="254"/>
      <c r="Z41" s="254"/>
    </row>
    <row r="42" spans="1:26" ht="44.1" customHeight="1" thickBot="1" x14ac:dyDescent="0.45">
      <c r="A42" s="224"/>
      <c r="B42" s="237" t="s">
        <v>20</v>
      </c>
      <c r="C42" s="225" t="s">
        <v>37</v>
      </c>
      <c r="D42" s="291">
        <v>60</v>
      </c>
      <c r="E42" s="370"/>
      <c r="F42" s="371"/>
      <c r="G42" s="370"/>
      <c r="H42" s="371"/>
      <c r="I42" s="370"/>
      <c r="J42" s="371"/>
      <c r="K42" s="370"/>
      <c r="L42" s="371"/>
      <c r="M42" s="370"/>
      <c r="N42" s="371"/>
      <c r="O42" s="370"/>
      <c r="P42" s="229"/>
      <c r="Q42" s="229"/>
    </row>
    <row r="43" spans="1:26" s="255" customFormat="1" ht="9.9" customHeight="1" thickBot="1" x14ac:dyDescent="0.35">
      <c r="A43" s="224"/>
      <c r="B43" s="225"/>
      <c r="C43" s="225"/>
      <c r="D43" s="291"/>
      <c r="E43" s="372"/>
      <c r="F43" s="373"/>
      <c r="G43" s="372"/>
      <c r="H43" s="373"/>
      <c r="I43" s="372"/>
      <c r="J43" s="373"/>
      <c r="K43" s="372"/>
      <c r="L43" s="373"/>
      <c r="M43" s="372"/>
      <c r="N43" s="373"/>
      <c r="O43" s="372"/>
      <c r="P43" s="226"/>
      <c r="Q43" s="226"/>
      <c r="R43" s="253"/>
      <c r="S43" s="254"/>
      <c r="T43" s="254"/>
      <c r="U43" s="254"/>
      <c r="V43" s="254"/>
      <c r="W43" s="254"/>
      <c r="X43" s="254"/>
      <c r="Y43" s="254"/>
      <c r="Z43" s="254"/>
    </row>
    <row r="44" spans="1:26" ht="44.1" customHeight="1" thickBot="1" x14ac:dyDescent="0.45">
      <c r="A44" s="224"/>
      <c r="B44" s="237" t="s">
        <v>22</v>
      </c>
      <c r="C44" s="225" t="s">
        <v>38</v>
      </c>
      <c r="D44" s="291">
        <v>90</v>
      </c>
      <c r="E44" s="370"/>
      <c r="F44" s="371"/>
      <c r="G44" s="370"/>
      <c r="H44" s="371"/>
      <c r="I44" s="370"/>
      <c r="J44" s="371"/>
      <c r="K44" s="370"/>
      <c r="L44" s="371"/>
      <c r="M44" s="370"/>
      <c r="N44" s="371"/>
      <c r="O44" s="370"/>
      <c r="P44" s="229"/>
      <c r="Q44" s="229"/>
    </row>
    <row r="45" spans="1:26" s="255" customFormat="1" ht="9.9" customHeight="1" thickBot="1" x14ac:dyDescent="0.35">
      <c r="A45" s="224"/>
      <c r="B45" s="225"/>
      <c r="C45" s="225"/>
      <c r="D45" s="291"/>
      <c r="E45" s="372"/>
      <c r="F45" s="373"/>
      <c r="G45" s="372"/>
      <c r="H45" s="373"/>
      <c r="I45" s="372"/>
      <c r="J45" s="373"/>
      <c r="K45" s="372"/>
      <c r="L45" s="373"/>
      <c r="M45" s="372"/>
      <c r="N45" s="373"/>
      <c r="O45" s="372"/>
      <c r="P45" s="226"/>
      <c r="Q45" s="226"/>
      <c r="R45" s="253"/>
      <c r="S45" s="254"/>
      <c r="T45" s="254"/>
      <c r="U45" s="254"/>
      <c r="V45" s="254"/>
      <c r="W45" s="254"/>
      <c r="X45" s="254"/>
      <c r="Y45" s="254"/>
      <c r="Z45" s="254"/>
    </row>
    <row r="46" spans="1:26" ht="44.1" customHeight="1" thickBot="1" x14ac:dyDescent="0.45">
      <c r="A46" s="224"/>
      <c r="B46" s="237" t="s">
        <v>24</v>
      </c>
      <c r="C46" s="225" t="s">
        <v>39</v>
      </c>
      <c r="D46" s="291">
        <v>1000</v>
      </c>
      <c r="E46" s="370"/>
      <c r="F46" s="371"/>
      <c r="G46" s="370"/>
      <c r="H46" s="371"/>
      <c r="I46" s="370"/>
      <c r="J46" s="371"/>
      <c r="K46" s="370"/>
      <c r="L46" s="371"/>
      <c r="M46" s="370"/>
      <c r="N46" s="371"/>
      <c r="O46" s="370"/>
      <c r="P46" s="229"/>
      <c r="Q46" s="229"/>
    </row>
    <row r="47" spans="1:26" s="255" customFormat="1" ht="9.9" customHeight="1" thickBot="1" x14ac:dyDescent="0.35">
      <c r="A47" s="224"/>
      <c r="B47" s="225"/>
      <c r="C47" s="225"/>
      <c r="D47" s="291"/>
      <c r="E47" s="372"/>
      <c r="F47" s="373"/>
      <c r="G47" s="372"/>
      <c r="H47" s="373"/>
      <c r="I47" s="372"/>
      <c r="J47" s="373"/>
      <c r="K47" s="372"/>
      <c r="L47" s="373"/>
      <c r="M47" s="372"/>
      <c r="N47" s="373"/>
      <c r="O47" s="372"/>
      <c r="P47" s="226"/>
      <c r="Q47" s="226"/>
      <c r="R47" s="253"/>
      <c r="S47" s="254"/>
      <c r="T47" s="254"/>
      <c r="U47" s="254"/>
      <c r="V47" s="254"/>
      <c r="W47" s="254"/>
      <c r="X47" s="254"/>
      <c r="Y47" s="254"/>
      <c r="Z47" s="254"/>
    </row>
    <row r="48" spans="1:26" ht="44.1" customHeight="1" thickBot="1" x14ac:dyDescent="0.45">
      <c r="A48" s="224"/>
      <c r="B48" s="237" t="s">
        <v>26</v>
      </c>
      <c r="C48" s="225" t="s">
        <v>40</v>
      </c>
      <c r="D48" s="291">
        <v>1500</v>
      </c>
      <c r="E48" s="370"/>
      <c r="F48" s="371"/>
      <c r="G48" s="370"/>
      <c r="H48" s="371"/>
      <c r="I48" s="370"/>
      <c r="J48" s="371"/>
      <c r="K48" s="370"/>
      <c r="L48" s="371"/>
      <c r="M48" s="370"/>
      <c r="N48" s="371"/>
      <c r="O48" s="370"/>
      <c r="P48" s="229"/>
      <c r="Q48" s="229"/>
    </row>
    <row r="49" spans="1:17" ht="21" x14ac:dyDescent="0.4">
      <c r="A49" s="224"/>
      <c r="B49" s="237"/>
      <c r="C49" s="225"/>
      <c r="D49" s="288"/>
      <c r="E49" s="289"/>
      <c r="F49" s="290"/>
      <c r="G49" s="289"/>
      <c r="H49" s="290"/>
      <c r="I49" s="289"/>
      <c r="J49" s="290"/>
      <c r="K49" s="289"/>
      <c r="L49" s="290"/>
      <c r="M49" s="289"/>
      <c r="N49" s="290"/>
      <c r="O49" s="289"/>
      <c r="P49" s="229"/>
      <c r="Q49" s="229"/>
    </row>
  </sheetData>
  <mergeCells count="8">
    <mergeCell ref="B14:C14"/>
    <mergeCell ref="B35:C35"/>
    <mergeCell ref="A2:M2"/>
    <mergeCell ref="A3:D3"/>
    <mergeCell ref="A4:D4"/>
    <mergeCell ref="A9:O9"/>
    <mergeCell ref="D11:I11"/>
    <mergeCell ref="M11:O11"/>
  </mergeCells>
  <conditionalFormatting sqref="P14:Q14">
    <cfRule type="cellIs" dxfId="4" priority="1" stopIfTrue="1" operator="greaterThan">
      <formula>0</formula>
    </cfRule>
  </conditionalFormatting>
  <dataValidations count="3">
    <dataValidation type="whole" showInputMessage="1" showErrorMessage="1" prompt="You must input a number between 0 and 366 in this cell." sqref="P38:Q38 P40:Q40 P42:Q42 P44:Q44 P46:Q46 P35:Q36 P48:Q49 D35" xr:uid="{F617CC54-F41E-41F6-B776-F98BF2877628}">
      <formula1>0</formula1>
      <formula2>366</formula2>
    </dataValidation>
    <dataValidation type="whole" allowBlank="1" showInputMessage="1" showErrorMessage="1" sqref="P31:Q31" xr:uid="{13FFEF0F-C323-435B-9A13-CE52E09E9260}">
      <formula1>0</formula1>
      <formula2>100000</formula2>
    </dataValidation>
    <dataValidation type="whole" allowBlank="1" showInputMessage="1" showErrorMessage="1" sqref="O21:Q21 O23:Q23 O25:Q25 O29:Q29 O33:Q33 O36 O38 O40 O42 O44 O46 O48 O31 O27:Q27 O15:Q15 O17:Q17 E48 E46 E44 E42 E40 E38 E36 E33 E29 E25 E23 E21 E19 E17 E15 E27 E31 G31 G48 G46 G44 G42 G40 G38 G36 G33 G29 G25 G23 G21 G19 G17 G15 G27 I27 I31 I48 I46 I44 I42 I40 I38 I36 I33 I29 I25 I23 I21 I19 I17 I15 K15 K27 K31 K48 K46 K44 K42 K40 K38 K36 K33 K29 K25 K23 K21 K19 K17 M17 M15 M27 M31 M48 M46 M44 M42 M40 M38 M36 M33 M29 M25 M23 M21 M19 O19:Q19" xr:uid="{EFEA974C-6ADF-4F1D-9716-56A263C311B6}">
      <formula1>0</formula1>
      <formula2>366</formula2>
    </dataValidation>
  </dataValidations>
  <printOptions horizontalCentered="1"/>
  <pageMargins left="0.25" right="0.25" top="0.18" bottom="0.19" header="0.17" footer="0.2"/>
  <pageSetup scale="52"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pageSetUpPr fitToPage="1"/>
  </sheetPr>
  <dimension ref="A1:AA91"/>
  <sheetViews>
    <sheetView showGridLines="0" zoomScale="70" zoomScaleNormal="70" workbookViewId="0">
      <selection activeCell="R8" sqref="R8"/>
    </sheetView>
  </sheetViews>
  <sheetFormatPr defaultColWidth="9.109375" defaultRowHeight="15.6" x14ac:dyDescent="0.3"/>
  <cols>
    <col min="1" max="1" width="3.109375" style="228" customWidth="1"/>
    <col min="2" max="2" width="6.33203125" style="228" customWidth="1"/>
    <col min="3" max="3" width="47.109375" style="228" customWidth="1"/>
    <col min="4" max="10" width="16" style="228" customWidth="1"/>
    <col min="11" max="11" width="18" style="228" bestFit="1" customWidth="1"/>
    <col min="12" max="12" width="2.6640625" style="228" customWidth="1"/>
    <col min="13" max="13" width="2.44140625" style="228" customWidth="1"/>
    <col min="14" max="14" width="15" style="228" hidden="1" customWidth="1"/>
    <col min="15" max="15" width="8.33203125" style="228" bestFit="1" customWidth="1"/>
    <col min="16" max="16384" width="9.109375" style="228"/>
  </cols>
  <sheetData>
    <row r="1" spans="1:27" x14ac:dyDescent="0.3">
      <c r="A1" s="239"/>
      <c r="B1" s="239"/>
      <c r="C1" s="240"/>
      <c r="S1" s="227"/>
      <c r="T1" s="227"/>
      <c r="U1" s="227"/>
      <c r="V1" s="227"/>
      <c r="W1" s="227"/>
      <c r="X1" s="227"/>
      <c r="Y1" s="227"/>
      <c r="Z1" s="227"/>
      <c r="AA1" s="227"/>
    </row>
    <row r="2" spans="1:27" s="217" customFormat="1" ht="30" customHeight="1" x14ac:dyDescent="0.3">
      <c r="A2" s="242"/>
      <c r="B2" s="242"/>
      <c r="C2" s="242"/>
      <c r="D2" s="242"/>
      <c r="E2" s="242"/>
      <c r="F2" s="242"/>
      <c r="G2" s="242"/>
      <c r="H2" s="242"/>
      <c r="I2" s="242"/>
      <c r="J2" s="242"/>
      <c r="K2" s="242"/>
      <c r="L2" s="242"/>
      <c r="M2" s="242"/>
      <c r="N2" s="242"/>
      <c r="O2" s="216"/>
      <c r="S2" s="218"/>
      <c r="T2" s="218"/>
      <c r="U2" s="218"/>
      <c r="V2" s="218"/>
      <c r="W2" s="218"/>
      <c r="X2" s="218"/>
      <c r="Y2" s="218"/>
      <c r="Z2" s="218"/>
      <c r="AA2" s="218"/>
    </row>
    <row r="3" spans="1:27" s="220" customFormat="1" ht="40.5" customHeight="1" x14ac:dyDescent="0.3">
      <c r="A3" s="457"/>
      <c r="B3" s="457"/>
      <c r="C3" s="457"/>
      <c r="D3" s="457"/>
      <c r="E3" s="457"/>
      <c r="F3" s="219"/>
      <c r="G3" s="219"/>
      <c r="H3" s="219"/>
      <c r="I3" s="219"/>
      <c r="J3" s="219"/>
      <c r="K3" s="219"/>
      <c r="L3" s="219"/>
      <c r="M3" s="219"/>
      <c r="N3" s="219"/>
      <c r="O3" s="219"/>
      <c r="S3" s="221"/>
      <c r="T3" s="221"/>
      <c r="U3" s="221"/>
      <c r="V3" s="221"/>
      <c r="W3" s="221"/>
      <c r="X3" s="221"/>
      <c r="Y3" s="221"/>
      <c r="Z3" s="221"/>
      <c r="AA3" s="221"/>
    </row>
    <row r="4" spans="1:27" s="217" customFormat="1" ht="24.75" customHeight="1" x14ac:dyDescent="0.3">
      <c r="A4" s="458"/>
      <c r="B4" s="458"/>
      <c r="C4" s="458"/>
      <c r="D4" s="458"/>
      <c r="E4" s="458"/>
      <c r="F4" s="222"/>
      <c r="G4" s="222"/>
      <c r="H4" s="222"/>
      <c r="I4" s="222"/>
      <c r="J4" s="222"/>
      <c r="K4" s="222"/>
      <c r="L4" s="222"/>
      <c r="M4" s="222"/>
      <c r="N4" s="222"/>
      <c r="O4" s="222"/>
      <c r="S4" s="218"/>
      <c r="T4" s="218"/>
      <c r="U4" s="218"/>
      <c r="V4" s="218"/>
      <c r="W4" s="218"/>
      <c r="X4" s="218"/>
      <c r="Y4" s="218"/>
      <c r="Z4" s="218"/>
      <c r="AA4" s="218"/>
    </row>
    <row r="5" spans="1:27" ht="16.2" thickBot="1" x14ac:dyDescent="0.35">
      <c r="A5" s="239"/>
      <c r="B5" s="239"/>
      <c r="C5" s="240"/>
      <c r="S5" s="227"/>
      <c r="T5" s="227"/>
      <c r="U5" s="227"/>
      <c r="V5" s="227"/>
      <c r="W5" s="227"/>
      <c r="X5" s="227"/>
      <c r="Y5" s="227"/>
      <c r="Z5" s="227"/>
      <c r="AA5" s="227"/>
    </row>
    <row r="6" spans="1:27" s="223" customFormat="1" ht="25.8" thickBot="1" x14ac:dyDescent="0.55000000000000004">
      <c r="B6" s="245"/>
      <c r="C6" s="489" t="s">
        <v>41</v>
      </c>
      <c r="D6" s="489"/>
      <c r="E6" s="490" t="str" cm="1">
        <f t="array" ref="E6">+Scenario</f>
        <v>surgery</v>
      </c>
      <c r="F6" s="491"/>
      <c r="G6" s="491"/>
      <c r="H6" s="492"/>
      <c r="I6" s="246" t="s">
        <v>1</v>
      </c>
      <c r="J6" s="488">
        <f ca="1">+NOW()</f>
        <v>46142.646632523145</v>
      </c>
      <c r="K6" s="488"/>
      <c r="L6" s="294"/>
      <c r="M6" s="294"/>
    </row>
    <row r="7" spans="1:27" s="223" customFormat="1" ht="15" customHeight="1" x14ac:dyDescent="0.5">
      <c r="B7" s="245"/>
      <c r="C7" s="295"/>
      <c r="D7" s="226"/>
      <c r="E7" s="226"/>
      <c r="F7" s="226"/>
      <c r="G7" s="226"/>
      <c r="H7" s="226"/>
      <c r="I7" s="226"/>
      <c r="J7" s="226"/>
      <c r="K7" s="296"/>
      <c r="L7" s="296"/>
    </row>
    <row r="8" spans="1:27" s="229" customFormat="1" ht="72.599999999999994" customHeight="1" x14ac:dyDescent="0.4">
      <c r="A8" s="479" t="s">
        <v>179</v>
      </c>
      <c r="B8" s="479"/>
      <c r="C8" s="479"/>
      <c r="D8" s="479"/>
      <c r="E8" s="479"/>
      <c r="F8" s="479"/>
      <c r="G8" s="479"/>
      <c r="H8" s="479"/>
      <c r="I8" s="479"/>
      <c r="J8" s="479"/>
      <c r="K8" s="479"/>
      <c r="L8" s="479"/>
    </row>
    <row r="9" spans="1:27" s="229" customFormat="1" ht="6.6" customHeight="1" thickBot="1" x14ac:dyDescent="0.45">
      <c r="A9" s="383"/>
      <c r="B9" s="383"/>
      <c r="C9" s="383"/>
      <c r="D9" s="383"/>
      <c r="E9" s="383"/>
      <c r="F9" s="383"/>
      <c r="G9" s="383"/>
      <c r="H9" s="383"/>
      <c r="I9" s="383"/>
      <c r="J9" s="383"/>
      <c r="K9" s="383"/>
      <c r="L9" s="383"/>
    </row>
    <row r="10" spans="1:27" s="229" customFormat="1" ht="27" customHeight="1" thickBot="1" x14ac:dyDescent="0.45">
      <c r="A10" s="383"/>
      <c r="B10" s="383"/>
      <c r="C10" s="282" t="s">
        <v>191</v>
      </c>
      <c r="D10" s="482" t="str">
        <f>'Scenario Input'!D11</f>
        <v>surgery</v>
      </c>
      <c r="E10" s="483"/>
      <c r="F10" s="483"/>
      <c r="G10" s="483"/>
      <c r="H10" s="483"/>
      <c r="I10" s="484"/>
      <c r="J10" s="437" t="s">
        <v>1</v>
      </c>
      <c r="K10" s="485">
        <f ca="1">+NOW()</f>
        <v>46142.646632523145</v>
      </c>
      <c r="L10" s="485"/>
    </row>
    <row r="11" spans="1:27" s="229" customFormat="1" ht="14.4" customHeight="1" x14ac:dyDescent="0.4">
      <c r="B11" s="406"/>
      <c r="C11" s="406"/>
      <c r="D11" s="406"/>
      <c r="E11" s="406"/>
      <c r="F11" s="406"/>
      <c r="G11" s="406"/>
      <c r="H11" s="436"/>
      <c r="I11" s="437"/>
      <c r="K11" s="438"/>
      <c r="L11" s="438"/>
    </row>
    <row r="12" spans="1:27" s="230" customFormat="1" ht="48.6" customHeight="1" x14ac:dyDescent="0.55000000000000004">
      <c r="B12" s="448" t="s">
        <v>189</v>
      </c>
      <c r="C12" s="448"/>
      <c r="D12" s="448"/>
      <c r="E12" s="448"/>
      <c r="F12" s="448"/>
      <c r="G12" s="448"/>
      <c r="H12" s="480" t="s">
        <v>42</v>
      </c>
      <c r="I12" s="480"/>
      <c r="J12" s="480" t="s">
        <v>43</v>
      </c>
      <c r="K12" s="480"/>
      <c r="L12" s="296"/>
    </row>
    <row r="13" spans="1:27" s="241" customFormat="1" ht="25.2" customHeight="1" x14ac:dyDescent="0.3">
      <c r="B13" s="405" t="s">
        <v>44</v>
      </c>
      <c r="H13" s="450" t="e">
        <f>INDEX($E$81:$K$81,MATCH(MAX($E$80:$K$80),$E$80:$K$80,0))</f>
        <v>#N/A</v>
      </c>
      <c r="I13" s="450"/>
      <c r="J13" s="481" t="e">
        <f>+MAX(E80:K80)</f>
        <v>#N/A</v>
      </c>
      <c r="K13" s="481"/>
      <c r="L13" s="292"/>
    </row>
    <row r="14" spans="1:27" s="241" customFormat="1" ht="25.2" customHeight="1" x14ac:dyDescent="0.3">
      <c r="B14" s="405" t="s">
        <v>45</v>
      </c>
      <c r="H14" s="450" t="e">
        <f>INDEX($E$86:$K$86,MATCH(MAX($E$85:$K$85),$E$85:$K$85,0))</f>
        <v>#N/A</v>
      </c>
      <c r="I14" s="450"/>
      <c r="J14" s="481" t="e">
        <f>+MAX(E85:K85)</f>
        <v>#N/A</v>
      </c>
      <c r="K14" s="481"/>
      <c r="L14" s="292"/>
    </row>
    <row r="15" spans="1:27" s="241" customFormat="1" ht="25.2" customHeight="1" x14ac:dyDescent="0.3">
      <c r="B15" s="405" t="s">
        <v>46</v>
      </c>
      <c r="H15" s="450" t="e">
        <f>INDEX($E$72:$K$72,MATCH(MAX($E$71:$K$71),$E$71:$K$71,0))</f>
        <v>#N/A</v>
      </c>
      <c r="I15" s="450"/>
      <c r="J15" s="481" t="e">
        <f>+MAX(E71:K71)</f>
        <v>#N/A</v>
      </c>
      <c r="K15" s="481"/>
      <c r="L15" s="292"/>
    </row>
    <row r="16" spans="1:27" s="223" customFormat="1" ht="15" customHeight="1" x14ac:dyDescent="0.5">
      <c r="B16" s="245"/>
      <c r="C16" s="295"/>
      <c r="D16" s="225"/>
      <c r="E16" s="225"/>
      <c r="F16" s="225"/>
      <c r="G16" s="225"/>
      <c r="H16" s="225"/>
      <c r="I16" s="225"/>
      <c r="J16" s="225"/>
      <c r="K16" s="384"/>
      <c r="L16" s="385"/>
    </row>
    <row r="17" spans="1:12" s="223" customFormat="1" ht="15" customHeight="1" x14ac:dyDescent="0.5">
      <c r="B17" s="245"/>
      <c r="C17" s="295"/>
      <c r="D17" s="225"/>
      <c r="E17" s="225"/>
      <c r="F17" s="225"/>
      <c r="G17" s="225"/>
      <c r="H17" s="225"/>
      <c r="I17" s="225"/>
      <c r="J17" s="225"/>
      <c r="K17" s="384"/>
      <c r="L17" s="385"/>
    </row>
    <row r="18" spans="1:12" s="229" customFormat="1" ht="25.2" customHeight="1" x14ac:dyDescent="0.4">
      <c r="A18" s="451" t="s">
        <v>47</v>
      </c>
      <c r="B18" s="451"/>
      <c r="C18" s="451"/>
      <c r="D18" s="451"/>
      <c r="E18" s="451"/>
      <c r="F18" s="451"/>
      <c r="G18" s="451"/>
      <c r="H18" s="451"/>
      <c r="I18" s="451"/>
      <c r="J18" s="451"/>
      <c r="K18" s="451"/>
      <c r="L18" s="451"/>
    </row>
    <row r="19" spans="1:12" s="236" customFormat="1" ht="25.2" customHeight="1" x14ac:dyDescent="0.4">
      <c r="A19" s="386"/>
      <c r="B19" s="297"/>
      <c r="D19" s="387"/>
      <c r="E19" s="387"/>
      <c r="F19" s="388"/>
      <c r="G19" s="388"/>
      <c r="H19" s="388"/>
      <c r="I19" s="388"/>
      <c r="J19" s="388"/>
      <c r="K19" s="388"/>
      <c r="L19" s="297"/>
    </row>
    <row r="20" spans="1:12" s="236" customFormat="1" ht="25.2" customHeight="1" x14ac:dyDescent="0.4">
      <c r="A20" s="386"/>
      <c r="B20" s="297"/>
      <c r="D20" s="387"/>
      <c r="E20" s="387"/>
      <c r="F20" s="388"/>
      <c r="G20" s="388"/>
      <c r="H20" s="388"/>
      <c r="I20" s="388"/>
      <c r="J20" s="388"/>
      <c r="K20" s="388"/>
      <c r="L20" s="297"/>
    </row>
    <row r="21" spans="1:12" s="236" customFormat="1" ht="25.2" customHeight="1" x14ac:dyDescent="0.4">
      <c r="A21" s="386"/>
      <c r="B21" s="297"/>
      <c r="D21" s="387"/>
      <c r="E21" s="387"/>
      <c r="F21" s="388"/>
      <c r="G21" s="388"/>
      <c r="H21" s="388"/>
      <c r="I21" s="388"/>
      <c r="J21" s="388"/>
      <c r="K21" s="388"/>
      <c r="L21" s="297"/>
    </row>
    <row r="22" spans="1:12" s="236" customFormat="1" ht="25.2" customHeight="1" x14ac:dyDescent="0.4">
      <c r="A22" s="386"/>
      <c r="B22" s="297"/>
      <c r="D22" s="387"/>
      <c r="E22" s="387"/>
      <c r="F22" s="388"/>
      <c r="G22" s="388"/>
      <c r="H22" s="388"/>
      <c r="I22" s="388"/>
      <c r="J22" s="388"/>
      <c r="K22" s="388"/>
      <c r="L22" s="297"/>
    </row>
    <row r="23" spans="1:12" s="236" customFormat="1" ht="25.2" customHeight="1" x14ac:dyDescent="0.4">
      <c r="A23" s="386"/>
      <c r="B23" s="297"/>
      <c r="D23" s="387"/>
      <c r="E23" s="387"/>
      <c r="F23" s="388"/>
      <c r="G23" s="388"/>
      <c r="H23" s="388"/>
      <c r="I23" s="388"/>
      <c r="J23" s="388"/>
      <c r="K23" s="388"/>
      <c r="L23" s="297"/>
    </row>
    <row r="24" spans="1:12" s="236" customFormat="1" ht="25.2" customHeight="1" x14ac:dyDescent="0.4">
      <c r="A24" s="386"/>
      <c r="B24" s="297"/>
      <c r="D24" s="387"/>
      <c r="E24" s="387"/>
      <c r="F24" s="388"/>
      <c r="G24" s="388"/>
      <c r="H24" s="388"/>
      <c r="I24" s="388"/>
      <c r="J24" s="388"/>
      <c r="K24" s="388"/>
      <c r="L24" s="297"/>
    </row>
    <row r="25" spans="1:12" s="236" customFormat="1" ht="25.2" customHeight="1" x14ac:dyDescent="0.4">
      <c r="A25" s="386"/>
      <c r="B25" s="297"/>
      <c r="D25" s="387"/>
      <c r="E25" s="387"/>
      <c r="F25" s="388"/>
      <c r="G25" s="388"/>
      <c r="H25" s="388"/>
      <c r="I25" s="388"/>
      <c r="J25" s="388"/>
      <c r="K25" s="388"/>
      <c r="L25" s="297"/>
    </row>
    <row r="26" spans="1:12" s="236" customFormat="1" ht="25.2" customHeight="1" x14ac:dyDescent="0.4">
      <c r="A26" s="386"/>
      <c r="B26" s="297"/>
      <c r="D26" s="387"/>
      <c r="E26" s="387"/>
      <c r="F26" s="388"/>
      <c r="G26" s="388"/>
      <c r="H26" s="388"/>
      <c r="I26" s="388"/>
      <c r="J26" s="388"/>
      <c r="K26" s="388"/>
      <c r="L26" s="297"/>
    </row>
    <row r="27" spans="1:12" s="236" customFormat="1" ht="25.2" customHeight="1" x14ac:dyDescent="0.4">
      <c r="A27" s="386"/>
      <c r="B27" s="297"/>
      <c r="D27" s="387"/>
      <c r="E27" s="387"/>
      <c r="F27" s="388"/>
      <c r="G27" s="388"/>
      <c r="H27" s="388"/>
      <c r="I27" s="388"/>
      <c r="J27" s="388"/>
      <c r="K27" s="388"/>
      <c r="L27" s="297"/>
    </row>
    <row r="28" spans="1:12" s="236" customFormat="1" ht="25.2" customHeight="1" x14ac:dyDescent="0.4">
      <c r="A28" s="386"/>
      <c r="B28" s="297"/>
      <c r="D28" s="387"/>
      <c r="E28" s="387"/>
      <c r="F28" s="388"/>
      <c r="G28" s="388"/>
      <c r="H28" s="388"/>
      <c r="I28" s="388"/>
      <c r="J28" s="388"/>
      <c r="K28" s="388"/>
      <c r="L28" s="297"/>
    </row>
    <row r="29" spans="1:12" s="236" customFormat="1" ht="25.2" customHeight="1" x14ac:dyDescent="0.4">
      <c r="A29" s="386"/>
      <c r="B29" s="297"/>
      <c r="D29" s="387"/>
      <c r="E29" s="387"/>
      <c r="F29" s="388"/>
      <c r="G29" s="388"/>
      <c r="H29" s="388"/>
      <c r="I29" s="388"/>
      <c r="J29" s="388"/>
      <c r="K29" s="388"/>
      <c r="L29" s="297"/>
    </row>
    <row r="30" spans="1:12" s="236" customFormat="1" ht="25.2" customHeight="1" x14ac:dyDescent="0.4">
      <c r="A30" s="386"/>
      <c r="B30" s="297"/>
      <c r="D30" s="387"/>
      <c r="E30" s="387"/>
      <c r="F30" s="388"/>
      <c r="G30" s="388"/>
      <c r="H30" s="388"/>
      <c r="I30" s="388"/>
      <c r="J30" s="388"/>
      <c r="K30" s="388"/>
      <c r="L30" s="297"/>
    </row>
    <row r="31" spans="1:12" s="236" customFormat="1" ht="25.2" customHeight="1" x14ac:dyDescent="0.4">
      <c r="A31" s="386"/>
      <c r="B31" s="297"/>
      <c r="D31" s="387"/>
      <c r="E31" s="387"/>
      <c r="F31" s="388"/>
      <c r="G31" s="388"/>
      <c r="H31" s="388"/>
      <c r="I31" s="388"/>
      <c r="J31" s="388"/>
      <c r="K31" s="388"/>
      <c r="L31" s="297"/>
    </row>
    <row r="32" spans="1:12" s="236" customFormat="1" ht="25.2" customHeight="1" x14ac:dyDescent="0.4">
      <c r="A32" s="386"/>
      <c r="B32" s="297"/>
      <c r="D32" s="387"/>
      <c r="E32" s="387"/>
      <c r="F32" s="388"/>
      <c r="G32" s="388"/>
      <c r="H32" s="388"/>
      <c r="I32" s="388"/>
      <c r="J32" s="388"/>
      <c r="K32" s="388"/>
      <c r="L32" s="297"/>
    </row>
    <row r="33" spans="1:12" s="236" customFormat="1" ht="25.2" customHeight="1" x14ac:dyDescent="0.4">
      <c r="A33" s="386"/>
      <c r="B33" s="297"/>
      <c r="D33" s="387"/>
      <c r="E33" s="387"/>
      <c r="F33" s="388"/>
      <c r="G33" s="388"/>
      <c r="H33" s="388"/>
      <c r="I33" s="388"/>
      <c r="J33" s="388"/>
      <c r="K33" s="388"/>
      <c r="L33" s="297"/>
    </row>
    <row r="34" spans="1:12" s="236" customFormat="1" ht="25.2" customHeight="1" x14ac:dyDescent="0.4">
      <c r="A34" s="386"/>
      <c r="B34" s="297"/>
      <c r="D34" s="387"/>
      <c r="E34" s="387"/>
      <c r="F34" s="388"/>
      <c r="G34" s="388"/>
      <c r="H34" s="388"/>
      <c r="I34" s="388"/>
      <c r="J34" s="388"/>
      <c r="K34" s="388"/>
      <c r="L34" s="297"/>
    </row>
    <row r="35" spans="1:12" s="236" customFormat="1" ht="25.2" customHeight="1" x14ac:dyDescent="0.4">
      <c r="A35" s="386"/>
      <c r="B35" s="297"/>
      <c r="D35" s="387"/>
      <c r="E35" s="387"/>
      <c r="F35" s="388"/>
      <c r="G35" s="388"/>
      <c r="H35" s="388"/>
      <c r="I35" s="388"/>
      <c r="J35" s="388"/>
      <c r="K35" s="388"/>
      <c r="L35" s="297"/>
    </row>
    <row r="36" spans="1:12" s="236" customFormat="1" ht="25.2" customHeight="1" x14ac:dyDescent="0.4">
      <c r="A36" s="386"/>
      <c r="B36" s="297"/>
      <c r="D36" s="387"/>
      <c r="E36" s="387"/>
      <c r="F36" s="388"/>
      <c r="G36" s="388"/>
      <c r="H36" s="388"/>
      <c r="I36" s="388"/>
      <c r="J36" s="388"/>
      <c r="K36" s="388"/>
      <c r="L36" s="297"/>
    </row>
    <row r="37" spans="1:12" s="236" customFormat="1" ht="9.6" customHeight="1" x14ac:dyDescent="0.4">
      <c r="A37" s="386"/>
      <c r="B37" s="297"/>
      <c r="D37" s="387"/>
      <c r="E37" s="387"/>
      <c r="F37" s="388"/>
      <c r="G37" s="388"/>
      <c r="H37" s="388"/>
      <c r="I37" s="388"/>
      <c r="J37" s="388"/>
      <c r="K37" s="388"/>
      <c r="L37" s="297"/>
    </row>
    <row r="38" spans="1:12" s="236" customFormat="1" ht="9.6" customHeight="1" x14ac:dyDescent="0.4">
      <c r="A38" s="297"/>
      <c r="B38" s="297"/>
      <c r="C38" s="297"/>
      <c r="D38" s="297"/>
      <c r="E38" s="297"/>
      <c r="F38" s="297"/>
      <c r="G38" s="297"/>
      <c r="H38" s="297"/>
      <c r="I38" s="297"/>
      <c r="J38" s="297"/>
      <c r="K38" s="297"/>
      <c r="L38" s="297"/>
    </row>
    <row r="39" spans="1:12" s="229" customFormat="1" ht="68.400000000000006" customHeight="1" x14ac:dyDescent="0.4">
      <c r="A39" s="451" t="s">
        <v>188</v>
      </c>
      <c r="B39" s="451"/>
      <c r="C39" s="451"/>
      <c r="D39" s="451"/>
      <c r="E39" s="451"/>
      <c r="F39" s="451"/>
      <c r="G39" s="451"/>
      <c r="H39" s="451"/>
      <c r="I39" s="451"/>
      <c r="J39" s="451"/>
      <c r="K39" s="451"/>
      <c r="L39" s="383"/>
    </row>
    <row r="40" spans="1:12" s="224" customFormat="1" ht="19.8" x14ac:dyDescent="0.5">
      <c r="A40" s="298"/>
      <c r="B40" s="298"/>
      <c r="C40" s="298"/>
      <c r="D40" s="299"/>
      <c r="E40" s="300" t="e">
        <f>+VLOOKUP(Unit,Unitmenu,3)</f>
        <v>#N/A</v>
      </c>
      <c r="F40" s="300" t="e">
        <f>+VLOOKUP(Unit,Unitmenu,4)</f>
        <v>#N/A</v>
      </c>
      <c r="G40" s="300" t="e">
        <f>+VLOOKUP(Unit,Unitmenu,5)</f>
        <v>#N/A</v>
      </c>
      <c r="H40" s="300" t="e">
        <f>+VLOOKUP(Unit,Unitmenu,6)</f>
        <v>#N/A</v>
      </c>
      <c r="I40" s="300" t="e">
        <f>+VLOOKUP(Unit,Unitmenu,7)</f>
        <v>#N/A</v>
      </c>
      <c r="J40" s="300" t="e">
        <f>++IF(VLOOKUP(Unit,Unitmenu,8)="","",VLOOKUP(Unit,Unitmenu,8))</f>
        <v>#N/A</v>
      </c>
      <c r="K40" s="300" t="e">
        <f>++IF(VLOOKUP(Unit,Unitmenu,9)="","",IF(VLOOKUP(Unit,Unitmenu,9)=J40,"",VLOOKUP(Unit,Unitmenu,9)))</f>
        <v>#N/A</v>
      </c>
      <c r="L40" s="389"/>
    </row>
    <row r="41" spans="1:12" s="229" customFormat="1" ht="24.6" customHeight="1" x14ac:dyDescent="0.4">
      <c r="A41" s="390"/>
      <c r="C41" s="301"/>
      <c r="D41" s="302" t="s">
        <v>48</v>
      </c>
      <c r="E41" s="303">
        <f>ROUND(ERContribution*12,0)</f>
        <v>0</v>
      </c>
      <c r="F41" s="303">
        <f>ROUND(ERContribution*12,0)</f>
        <v>0</v>
      </c>
      <c r="G41" s="303">
        <f>ROUND(ERContribution*12,0)</f>
        <v>0</v>
      </c>
      <c r="H41" s="303">
        <f>ROUND(ERContribution*12,0)</f>
        <v>0</v>
      </c>
      <c r="I41" s="303">
        <f>ROUND(ERContribution*12,0)</f>
        <v>0</v>
      </c>
      <c r="J41" s="303" t="e">
        <f>+IF(J40="","",ROUND(ERContribution*12,0))</f>
        <v>#N/A</v>
      </c>
      <c r="K41" s="303" t="e">
        <f>+IF(K40="","",ROUND(ERContribution*12,0))</f>
        <v>#N/A</v>
      </c>
      <c r="L41" s="391"/>
    </row>
    <row r="42" spans="1:12" s="229" customFormat="1" ht="25.2" customHeight="1" x14ac:dyDescent="0.5">
      <c r="A42" s="390"/>
      <c r="C42" s="304"/>
      <c r="D42" s="305" t="s">
        <v>49</v>
      </c>
      <c r="E42" s="306" t="e">
        <f>-INDEX(Rates,VLOOKUP(CONCATENATE(RateStructure," ",EERE," ",Tier),RateRow,2),VLOOKUP(E40,PlanColumn,2))*12</f>
        <v>#N/A</v>
      </c>
      <c r="F42" s="306" t="e">
        <f>-INDEX(Rates,VLOOKUP(CONCATENATE(RateStructure," ",EERE," ",Tier),RateRow,2),VLOOKUP(F40,PlanColumn,2))*12</f>
        <v>#N/A</v>
      </c>
      <c r="G42" s="306" t="e">
        <f>-INDEX(Rates,VLOOKUP(CONCATENATE(RateStructure," ",EERE," ",Tier),RateRow,2),VLOOKUP(G40,PlanColumn,2))*12</f>
        <v>#N/A</v>
      </c>
      <c r="H42" s="306" t="e">
        <f>-INDEX(Rates,VLOOKUP(CONCATENATE(RateStructure," ",EERE," ",Tier),RateRow,2),VLOOKUP(H40,PlanColumn,2))*12</f>
        <v>#N/A</v>
      </c>
      <c r="I42" s="306" t="e">
        <f>-INDEX(Rates,VLOOKUP(CONCATENATE(RateStructure," ",EERE," ",Tier),RateRow,2),VLOOKUP(I40,PlanColumn,2))*12</f>
        <v>#N/A</v>
      </c>
      <c r="J42" s="306" t="e">
        <f>+IF(J40="","",INDEX(Rates,VLOOKUP(CONCATENATE(RateStructure," ",EERE," ",Tier),RateRow,2),VLOOKUP(J40,PlanColumn,2))*-12)</f>
        <v>#N/A</v>
      </c>
      <c r="K42" s="306" t="e">
        <f>+IF(K40="","",INDEX(Rates,VLOOKUP(CONCATENATE(RateStructure," ",EERE," ",Tier),RateRow,2),VLOOKUP(K40,PlanColumn,2))*-12)</f>
        <v>#N/A</v>
      </c>
      <c r="L42" s="392"/>
    </row>
    <row r="43" spans="1:12" s="220" customFormat="1" ht="21" customHeight="1" x14ac:dyDescent="0.3">
      <c r="B43" s="487"/>
      <c r="C43" s="307"/>
      <c r="D43" s="308" t="s">
        <v>50</v>
      </c>
      <c r="E43" s="309" t="e">
        <f>+IF((E41+E42)&gt;0,"",E42+E41)</f>
        <v>#N/A</v>
      </c>
      <c r="F43" s="309" t="e">
        <f>+IF((F41+F42)&gt;0,"",F42+F41)</f>
        <v>#N/A</v>
      </c>
      <c r="G43" s="309" t="e">
        <f>+IF((G41+G42)&gt;0,"",G42+G41)</f>
        <v>#N/A</v>
      </c>
      <c r="H43" s="309" t="e">
        <f>+IF((H41+H42)&gt;0,"",H42+H41)</f>
        <v>#N/A</v>
      </c>
      <c r="I43" s="309" t="e">
        <f>+IF((I41+I42)&gt;0,"",I42+I41)</f>
        <v>#N/A</v>
      </c>
      <c r="J43" s="309" t="str">
        <f>+IFERROR(+IF((J41+J42)&gt;0,"",J42+J41),"")</f>
        <v/>
      </c>
      <c r="K43" s="309" t="str">
        <f>+IFERROR(+IF((K41+K42)&gt;0,"",K42+K41),"")</f>
        <v/>
      </c>
      <c r="L43" s="325"/>
    </row>
    <row r="44" spans="1:12" s="220" customFormat="1" ht="21" x14ac:dyDescent="0.3">
      <c r="B44" s="487"/>
      <c r="D44" s="310" t="str">
        <f>+IF(Cashinlieu="Yes","Paycheck Addition: Cash-in-Lieu","")</f>
        <v/>
      </c>
      <c r="E44" s="311" t="str">
        <f>+IF(Cashinlieu="Yes",IF((E41+E42)&gt;0,E41+E42,""),"")</f>
        <v/>
      </c>
      <c r="F44" s="311" t="str">
        <f>+IF(Cashinlieu="Yes",IF((F41+F42)&gt;0,F41+F42,""),"")</f>
        <v/>
      </c>
      <c r="G44" s="311" t="str">
        <f>+IF(Cashinlieu="Yes",IF((G41+G42)&gt;0,G41+G42,""),"")</f>
        <v/>
      </c>
      <c r="H44" s="311" t="str">
        <f>+IF(Cashinlieu="Yes",IF((H41+H42)&gt;0,H41+H42,""),"")</f>
        <v/>
      </c>
      <c r="I44" s="311" t="str">
        <f>+IF(Cashinlieu="Yes",IF((I41+I42)&gt;0,I41+I42,""),"")</f>
        <v/>
      </c>
      <c r="J44" s="311" t="e">
        <f>+IF(J40="","",IF(Cashinlieu="Yes",IF((J41+J42)&gt;0,J41+J42,""),""))</f>
        <v>#N/A</v>
      </c>
      <c r="K44" s="311" t="e">
        <f>+IF(K40="","",IF(Cashinlieu="Yes",IF((K41+K42)&gt;0,K41+K42,""),""))</f>
        <v>#N/A</v>
      </c>
      <c r="L44" s="325"/>
    </row>
    <row r="45" spans="1:12" s="229" customFormat="1" ht="15" customHeight="1" x14ac:dyDescent="0.4">
      <c r="A45" s="393"/>
      <c r="B45" s="312"/>
      <c r="C45" s="312"/>
      <c r="D45" s="313"/>
      <c r="E45" s="314"/>
      <c r="F45" s="314"/>
      <c r="G45" s="314"/>
      <c r="H45" s="314"/>
      <c r="I45" s="314"/>
      <c r="J45" s="314"/>
      <c r="K45" s="314"/>
      <c r="L45" s="394"/>
    </row>
    <row r="46" spans="1:12" s="229" customFormat="1" ht="19.95" customHeight="1" x14ac:dyDescent="0.4">
      <c r="A46" s="395"/>
      <c r="C46" s="396"/>
      <c r="D46" s="397" t="s">
        <v>51</v>
      </c>
      <c r="E46" s="315">
        <f t="shared" ref="E46:I46" si="0">Totalmedcosts+TotalRXCost</f>
        <v>0</v>
      </c>
      <c r="F46" s="315">
        <f t="shared" si="0"/>
        <v>0</v>
      </c>
      <c r="G46" s="315">
        <f t="shared" si="0"/>
        <v>0</v>
      </c>
      <c r="H46" s="315">
        <f t="shared" si="0"/>
        <v>0</v>
      </c>
      <c r="I46" s="315">
        <f t="shared" si="0"/>
        <v>0</v>
      </c>
      <c r="J46" s="316" t="e">
        <f>+IF(J40="","",Totalmedcosts+TotalRXCost)</f>
        <v>#N/A</v>
      </c>
      <c r="K46" s="316" t="e">
        <f>+IF(K40="","",Totalmedcosts+TotalRXCost)</f>
        <v>#N/A</v>
      </c>
      <c r="L46" s="398"/>
    </row>
    <row r="47" spans="1:12" s="229" customFormat="1" ht="21.6" customHeight="1" x14ac:dyDescent="0.5">
      <c r="A47" s="395"/>
      <c r="C47" s="399"/>
      <c r="D47" s="400" t="s">
        <v>52</v>
      </c>
      <c r="E47" s="317" t="e">
        <f>VLOOKUP(E40,ClaimPayments,3)</f>
        <v>#N/A</v>
      </c>
      <c r="F47" s="317" t="e">
        <f>VLOOKUP(F40,ClaimPayments,3)</f>
        <v>#N/A</v>
      </c>
      <c r="G47" s="317" t="e">
        <f>VLOOKUP(G40,ClaimPayments,3)</f>
        <v>#N/A</v>
      </c>
      <c r="H47" s="317" t="e">
        <f>VLOOKUP(H40,ClaimPayments,3)</f>
        <v>#N/A</v>
      </c>
      <c r="I47" s="317" t="e">
        <f>VLOOKUP(I40,ClaimPayments,3)</f>
        <v>#N/A</v>
      </c>
      <c r="J47" s="317" t="e">
        <f>+IF(J40="","",VLOOKUP(J40,ClaimPayments,3))</f>
        <v>#N/A</v>
      </c>
      <c r="K47" s="317" t="e">
        <f>+IF(K40="","",VLOOKUP(K40,ClaimPayments,3))</f>
        <v>#N/A</v>
      </c>
      <c r="L47" s="401"/>
    </row>
    <row r="48" spans="1:12" s="229" customFormat="1" ht="45.6" customHeight="1" x14ac:dyDescent="0.5">
      <c r="B48" s="321"/>
      <c r="C48" s="477" t="s">
        <v>53</v>
      </c>
      <c r="D48" s="477"/>
      <c r="E48" s="318" t="e">
        <f>-E46+E47</f>
        <v>#N/A</v>
      </c>
      <c r="F48" s="318" t="e">
        <f t="shared" ref="F48:G48" si="1">-F46+F47</f>
        <v>#N/A</v>
      </c>
      <c r="G48" s="318" t="e">
        <f t="shared" si="1"/>
        <v>#N/A</v>
      </c>
      <c r="H48" s="318" t="e">
        <f>-H46+H47</f>
        <v>#N/A</v>
      </c>
      <c r="I48" s="318" t="e">
        <f>-I46+I47</f>
        <v>#N/A</v>
      </c>
      <c r="J48" s="318" t="e">
        <f>+IF(J40="","",-J46+J47)</f>
        <v>#N/A</v>
      </c>
      <c r="K48" s="318" t="e">
        <f>+IF(K40="","",-K46+K47)</f>
        <v>#N/A</v>
      </c>
      <c r="L48" s="394"/>
    </row>
    <row r="49" spans="1:26" s="229" customFormat="1" ht="15" customHeight="1" x14ac:dyDescent="0.5">
      <c r="A49" s="321"/>
      <c r="B49" s="402"/>
      <c r="C49" s="402"/>
      <c r="D49" s="319"/>
      <c r="E49" s="320"/>
      <c r="F49" s="320"/>
      <c r="G49" s="320"/>
      <c r="H49" s="320"/>
      <c r="I49" s="320"/>
      <c r="J49" s="320"/>
      <c r="K49" s="320"/>
      <c r="L49" s="394"/>
    </row>
    <row r="50" spans="1:26" s="220" customFormat="1" ht="21" customHeight="1" x14ac:dyDescent="0.3">
      <c r="A50" s="486"/>
      <c r="B50" s="486"/>
      <c r="D50" s="403" t="s">
        <v>54</v>
      </c>
      <c r="E50" s="322" t="e">
        <f>+IF(E44="",E48+E43,IF(E44+E48&lt;0,E48+E44,""))</f>
        <v>#N/A</v>
      </c>
      <c r="F50" s="322" t="e">
        <f>+IF(F44="",F48+F43,IF(F44+F48&lt;0,F48+F44,""))</f>
        <v>#N/A</v>
      </c>
      <c r="G50" s="322" t="e">
        <f t="shared" ref="G50:I50" si="2">+IF(G44="",G48+G43,IF(G44+G48&lt;0,G48+G44,""))</f>
        <v>#N/A</v>
      </c>
      <c r="H50" s="322" t="e">
        <f t="shared" si="2"/>
        <v>#N/A</v>
      </c>
      <c r="I50" s="322" t="e">
        <f t="shared" si="2"/>
        <v>#N/A</v>
      </c>
      <c r="J50" s="322" t="str">
        <f>++IFERROR(IF(J44="",J48+J43,IF(J44+J48&lt;0,J48+J44,"")),"")</f>
        <v/>
      </c>
      <c r="K50" s="322" t="str">
        <f>++IFERROR(IF(K44="",K48+K43,IF(K44+K48&lt;0,K48+K44,"")),"")</f>
        <v/>
      </c>
      <c r="L50" s="325"/>
    </row>
    <row r="51" spans="1:26" s="220" customFormat="1" ht="21" customHeight="1" x14ac:dyDescent="0.3">
      <c r="A51" s="486"/>
      <c r="B51" s="486"/>
      <c r="D51" s="403" t="e">
        <f>+IF(Cashinlieu="No","",IF(SUM(E51:K51)=0,"","Net Savings"))</f>
        <v>#N/A</v>
      </c>
      <c r="E51" s="404" t="str">
        <f t="shared" ref="E51:J51" si="3">+IF(E44="","",IF(E44+E48&gt;0,E44+E48,""))</f>
        <v/>
      </c>
      <c r="F51" s="404" t="str">
        <f t="shared" si="3"/>
        <v/>
      </c>
      <c r="G51" s="404" t="str">
        <f t="shared" si="3"/>
        <v/>
      </c>
      <c r="H51" s="404" t="str">
        <f>+IF(H44="","",IF(H44+H48&gt;0,H44+H48,""))</f>
        <v/>
      </c>
      <c r="I51" s="404" t="str">
        <f t="shared" si="3"/>
        <v/>
      </c>
      <c r="J51" s="404" t="e">
        <f t="shared" si="3"/>
        <v>#N/A</v>
      </c>
      <c r="K51" s="404" t="e">
        <f>+IF(K44="","",IF(K44+K48&gt;0,+K44+K48,""))</f>
        <v>#N/A</v>
      </c>
      <c r="L51" s="325"/>
    </row>
    <row r="52" spans="1:26" s="220" customFormat="1" ht="21" customHeight="1" x14ac:dyDescent="0.3">
      <c r="A52" s="321"/>
      <c r="B52" s="321"/>
      <c r="C52" s="478" t="s">
        <v>186</v>
      </c>
      <c r="D52" s="478"/>
      <c r="E52" s="478"/>
      <c r="F52" s="478"/>
      <c r="G52" s="478"/>
      <c r="H52" s="478"/>
      <c r="I52" s="478"/>
      <c r="J52" s="478"/>
      <c r="K52" s="478"/>
      <c r="L52" s="325"/>
    </row>
    <row r="53" spans="1:26" s="220" customFormat="1" ht="22.2" x14ac:dyDescent="0.3">
      <c r="A53" s="321"/>
      <c r="B53" s="324"/>
      <c r="C53" s="478" t="s">
        <v>187</v>
      </c>
      <c r="D53" s="478"/>
      <c r="E53" s="478"/>
      <c r="F53" s="478"/>
      <c r="G53" s="478"/>
      <c r="H53" s="478"/>
      <c r="I53" s="478"/>
      <c r="J53" s="478"/>
      <c r="K53" s="478"/>
      <c r="L53" s="325"/>
    </row>
    <row r="54" spans="1:26" s="220" customFormat="1" ht="15" customHeight="1" x14ac:dyDescent="0.3">
      <c r="A54" s="321"/>
      <c r="B54" s="324"/>
      <c r="C54" s="323"/>
      <c r="D54" s="323"/>
      <c r="E54" s="323"/>
      <c r="F54" s="323"/>
      <c r="G54" s="323"/>
      <c r="H54" s="323"/>
      <c r="I54" s="323"/>
      <c r="J54" s="323"/>
      <c r="K54" s="323"/>
      <c r="L54" s="325"/>
    </row>
    <row r="55" spans="1:26" ht="84" customHeight="1" x14ac:dyDescent="0.3">
      <c r="A55" s="476" t="s">
        <v>184</v>
      </c>
      <c r="B55" s="476"/>
      <c r="C55" s="476"/>
      <c r="D55" s="476"/>
      <c r="E55" s="476"/>
      <c r="F55" s="476"/>
      <c r="G55" s="476"/>
      <c r="H55" s="476"/>
      <c r="I55" s="476"/>
      <c r="J55" s="476"/>
      <c r="K55" s="476"/>
      <c r="L55" s="476"/>
    </row>
    <row r="56" spans="1:26" ht="21" x14ac:dyDescent="0.4">
      <c r="A56" s="224"/>
      <c r="B56" s="237"/>
      <c r="C56" s="327"/>
      <c r="D56" s="229"/>
      <c r="E56" s="238"/>
      <c r="F56" s="238"/>
      <c r="G56" s="326"/>
      <c r="H56" s="326"/>
      <c r="I56" s="326"/>
      <c r="J56" s="326"/>
      <c r="K56" s="326"/>
      <c r="L56" s="326"/>
      <c r="M56" s="326"/>
      <c r="N56" s="238"/>
      <c r="O56" s="238"/>
      <c r="P56" s="229"/>
      <c r="Q56" s="229"/>
      <c r="R56" s="227"/>
      <c r="S56" s="227"/>
      <c r="T56" s="227"/>
      <c r="U56" s="227"/>
      <c r="V56" s="227"/>
      <c r="W56" s="227"/>
      <c r="X56" s="227"/>
      <c r="Y56" s="227"/>
      <c r="Z56" s="227"/>
    </row>
    <row r="57" spans="1:26" ht="21" x14ac:dyDescent="0.4">
      <c r="A57" s="224"/>
      <c r="B57" s="237"/>
      <c r="C57" s="327"/>
      <c r="D57" s="229"/>
      <c r="E57" s="238"/>
      <c r="F57" s="238"/>
      <c r="G57" s="327"/>
      <c r="H57" s="327"/>
      <c r="I57" s="327"/>
      <c r="J57" s="327"/>
      <c r="K57" s="327"/>
      <c r="L57" s="327"/>
      <c r="M57" s="327"/>
      <c r="N57" s="238"/>
      <c r="O57" s="238"/>
      <c r="P57" s="229"/>
      <c r="Q57" s="229"/>
      <c r="R57" s="227"/>
      <c r="S57" s="227"/>
      <c r="T57" s="227"/>
      <c r="U57" s="227"/>
      <c r="V57" s="227"/>
      <c r="W57" s="227"/>
      <c r="X57" s="227"/>
      <c r="Y57" s="227"/>
      <c r="Z57" s="227"/>
    </row>
    <row r="58" spans="1:26" ht="21" x14ac:dyDescent="0.4">
      <c r="A58" s="224"/>
      <c r="B58" s="237"/>
      <c r="C58" s="327"/>
      <c r="D58" s="229"/>
      <c r="E58" s="238"/>
      <c r="F58" s="238"/>
      <c r="G58" s="327"/>
      <c r="H58" s="327"/>
      <c r="I58" s="327"/>
      <c r="J58" s="327"/>
      <c r="K58" s="327"/>
      <c r="L58" s="327"/>
      <c r="M58" s="327"/>
      <c r="N58" s="238"/>
      <c r="O58" s="238"/>
      <c r="P58" s="229"/>
      <c r="Q58" s="229"/>
      <c r="R58" s="227"/>
      <c r="S58" s="227"/>
      <c r="T58" s="227"/>
      <c r="U58" s="227"/>
      <c r="V58" s="227"/>
      <c r="W58" s="227"/>
      <c r="X58" s="227"/>
      <c r="Y58" s="227"/>
      <c r="Z58" s="227"/>
    </row>
    <row r="59" spans="1:26" ht="21" x14ac:dyDescent="0.4">
      <c r="A59" s="224"/>
      <c r="B59" s="237"/>
      <c r="C59" s="327"/>
      <c r="D59" s="229"/>
      <c r="E59" s="238"/>
      <c r="F59" s="238"/>
      <c r="G59" s="327"/>
      <c r="H59" s="327"/>
      <c r="I59" s="327"/>
      <c r="J59" s="327"/>
      <c r="K59" s="327"/>
      <c r="L59" s="327"/>
      <c r="M59" s="327"/>
      <c r="N59" s="238"/>
      <c r="O59" s="238"/>
      <c r="P59" s="229"/>
      <c r="Q59" s="229"/>
      <c r="R59" s="227"/>
      <c r="S59" s="227"/>
      <c r="T59" s="227"/>
      <c r="U59" s="227"/>
      <c r="V59" s="227"/>
      <c r="W59" s="227"/>
      <c r="X59" s="227"/>
      <c r="Y59" s="227"/>
      <c r="Z59" s="227"/>
    </row>
    <row r="60" spans="1:26" ht="21" x14ac:dyDescent="0.4">
      <c r="A60" s="224"/>
      <c r="B60" s="237"/>
      <c r="C60" s="327"/>
      <c r="D60" s="229"/>
      <c r="E60" s="238"/>
      <c r="F60" s="238"/>
      <c r="G60" s="327"/>
      <c r="H60" s="327"/>
      <c r="I60" s="327"/>
      <c r="J60" s="327"/>
      <c r="K60" s="327"/>
      <c r="L60" s="327"/>
      <c r="M60" s="327"/>
      <c r="N60" s="238"/>
      <c r="O60" s="238"/>
      <c r="P60" s="229"/>
      <c r="Q60" s="229"/>
      <c r="R60" s="227"/>
      <c r="S60" s="227"/>
      <c r="T60" s="227"/>
      <c r="U60" s="227"/>
      <c r="V60" s="227"/>
      <c r="W60" s="227"/>
      <c r="X60" s="227"/>
      <c r="Y60" s="227"/>
      <c r="Z60" s="227"/>
    </row>
    <row r="61" spans="1:26" ht="21" x14ac:dyDescent="0.4">
      <c r="A61" s="224"/>
      <c r="B61" s="237"/>
      <c r="C61" s="327"/>
      <c r="D61" s="229"/>
      <c r="E61" s="238"/>
      <c r="F61" s="238"/>
      <c r="G61" s="327"/>
      <c r="H61" s="327"/>
      <c r="I61" s="327"/>
      <c r="J61" s="327"/>
      <c r="K61" s="327"/>
      <c r="L61" s="327"/>
      <c r="M61" s="327"/>
      <c r="N61" s="238"/>
      <c r="O61" s="238"/>
      <c r="P61" s="229"/>
      <c r="Q61" s="229"/>
      <c r="R61" s="227"/>
      <c r="S61" s="227"/>
      <c r="T61" s="227"/>
      <c r="U61" s="227"/>
      <c r="V61" s="227"/>
      <c r="W61" s="227"/>
      <c r="X61" s="227"/>
      <c r="Y61" s="227"/>
      <c r="Z61" s="227"/>
    </row>
    <row r="62" spans="1:26" ht="21" x14ac:dyDescent="0.4">
      <c r="A62" s="224"/>
      <c r="B62" s="237"/>
      <c r="C62" s="327"/>
      <c r="D62" s="229"/>
      <c r="E62" s="238"/>
      <c r="F62" s="238"/>
      <c r="G62" s="327"/>
      <c r="H62" s="327"/>
      <c r="I62" s="327"/>
      <c r="J62" s="327"/>
      <c r="K62" s="327"/>
      <c r="L62" s="327"/>
      <c r="M62" s="327"/>
      <c r="N62" s="238"/>
      <c r="O62" s="238"/>
      <c r="P62" s="229"/>
      <c r="Q62" s="229"/>
      <c r="R62" s="227"/>
      <c r="S62" s="227"/>
      <c r="T62" s="227"/>
      <c r="U62" s="227"/>
      <c r="V62" s="227"/>
      <c r="W62" s="227"/>
      <c r="X62" s="227"/>
      <c r="Y62" s="227"/>
      <c r="Z62" s="227"/>
    </row>
    <row r="63" spans="1:26" ht="21" x14ac:dyDescent="0.4">
      <c r="A63" s="224"/>
      <c r="B63" s="237"/>
      <c r="C63" s="327"/>
      <c r="D63" s="229"/>
      <c r="E63" s="238"/>
      <c r="F63" s="238"/>
      <c r="G63" s="327"/>
      <c r="H63" s="327"/>
      <c r="I63" s="327"/>
      <c r="J63" s="327"/>
      <c r="K63" s="327"/>
      <c r="L63" s="327"/>
      <c r="M63" s="327"/>
      <c r="N63" s="238"/>
      <c r="O63" s="238"/>
      <c r="P63" s="229"/>
      <c r="Q63" s="229"/>
      <c r="R63" s="227"/>
      <c r="S63" s="227"/>
      <c r="T63" s="227"/>
      <c r="U63" s="227"/>
      <c r="V63" s="227"/>
      <c r="W63" s="227"/>
      <c r="X63" s="227"/>
      <c r="Y63" s="227"/>
      <c r="Z63" s="227"/>
    </row>
    <row r="64" spans="1:26" ht="21" x14ac:dyDescent="0.4">
      <c r="A64" s="224"/>
      <c r="B64" s="237"/>
      <c r="C64" s="327"/>
      <c r="D64" s="229"/>
      <c r="E64" s="238"/>
      <c r="F64" s="238"/>
      <c r="G64" s="327"/>
      <c r="H64" s="327"/>
      <c r="I64" s="327"/>
      <c r="J64" s="327"/>
      <c r="K64" s="327"/>
      <c r="L64" s="327"/>
      <c r="M64" s="327"/>
      <c r="N64" s="238"/>
      <c r="O64" s="238"/>
      <c r="P64" s="229"/>
      <c r="Q64" s="229"/>
      <c r="R64" s="227"/>
      <c r="S64" s="227"/>
      <c r="T64" s="227"/>
      <c r="U64" s="227"/>
      <c r="V64" s="227"/>
      <c r="W64" s="227"/>
      <c r="X64" s="227"/>
      <c r="Y64" s="227"/>
      <c r="Z64" s="227"/>
    </row>
    <row r="65" spans="1:26" ht="21" hidden="1" x14ac:dyDescent="0.4">
      <c r="A65" s="224"/>
      <c r="B65" s="237"/>
      <c r="C65" s="327"/>
      <c r="D65" s="229"/>
      <c r="E65" s="238"/>
      <c r="F65" s="238"/>
      <c r="G65" s="327"/>
      <c r="H65" s="327"/>
      <c r="I65" s="327"/>
      <c r="J65" s="327"/>
      <c r="K65" s="327"/>
      <c r="L65" s="327"/>
      <c r="M65" s="327"/>
      <c r="N65" s="238"/>
      <c r="O65" s="238"/>
      <c r="P65" s="229"/>
      <c r="Q65" s="229"/>
      <c r="R65" s="227"/>
      <c r="S65" s="227"/>
      <c r="T65" s="227"/>
      <c r="U65" s="227"/>
      <c r="V65" s="227"/>
      <c r="W65" s="227"/>
      <c r="X65" s="227"/>
      <c r="Y65" s="227"/>
      <c r="Z65" s="227"/>
    </row>
    <row r="66" spans="1:26" ht="19.8" hidden="1" x14ac:dyDescent="0.5">
      <c r="E66" s="300" t="e">
        <f>+VLOOKUP(Unit,Unitmenu,3)</f>
        <v>#N/A</v>
      </c>
      <c r="F66" s="300" t="e">
        <f>+VLOOKUP(Unit,Unitmenu,4)</f>
        <v>#N/A</v>
      </c>
      <c r="G66" s="300" t="e">
        <f>+VLOOKUP(Unit,Unitmenu,5)</f>
        <v>#N/A</v>
      </c>
      <c r="H66" s="300" t="e">
        <f>+VLOOKUP(Unit,Unitmenu,6)</f>
        <v>#N/A</v>
      </c>
      <c r="I66" s="300" t="e">
        <f>+VLOOKUP(Unit,Unitmenu,7)</f>
        <v>#N/A</v>
      </c>
      <c r="J66" s="300" t="e">
        <f>++IF(VLOOKUP(Unit,Unitmenu,8)="","",VLOOKUP(Unit,Unitmenu,8))</f>
        <v>#N/A</v>
      </c>
      <c r="K66" s="300" t="e">
        <f>++IF(VLOOKUP(Unit,Unitmenu,9)="","",IF(VLOOKUP(Unit,Unitmenu,9)=J66,"",VLOOKUP(Unit,Unitmenu,9)))</f>
        <v>#N/A</v>
      </c>
    </row>
    <row r="67" spans="1:26" s="331" customFormat="1" hidden="1" x14ac:dyDescent="0.3">
      <c r="A67" s="328"/>
      <c r="B67" s="328"/>
      <c r="C67" s="329" t="s">
        <v>55</v>
      </c>
      <c r="D67" s="330"/>
      <c r="E67" s="330" t="e">
        <f t="shared" ref="E67:K67" si="4">E42</f>
        <v>#N/A</v>
      </c>
      <c r="F67" s="330" t="e">
        <f t="shared" si="4"/>
        <v>#N/A</v>
      </c>
      <c r="G67" s="330" t="e">
        <f t="shared" si="4"/>
        <v>#N/A</v>
      </c>
      <c r="H67" s="330" t="e">
        <f t="shared" si="4"/>
        <v>#N/A</v>
      </c>
      <c r="I67" s="330" t="e">
        <f t="shared" si="4"/>
        <v>#N/A</v>
      </c>
      <c r="J67" s="330" t="e">
        <f t="shared" si="4"/>
        <v>#N/A</v>
      </c>
      <c r="K67" s="330" t="e">
        <f t="shared" si="4"/>
        <v>#N/A</v>
      </c>
    </row>
    <row r="68" spans="1:26" s="331" customFormat="1" hidden="1" x14ac:dyDescent="0.3">
      <c r="A68" s="328"/>
      <c r="B68" s="328"/>
      <c r="C68" s="329" t="s">
        <v>56</v>
      </c>
      <c r="D68" s="332"/>
      <c r="E68" s="332" t="e">
        <f t="shared" ref="E68:K68" si="5">-IF(CoveredDependents=0,INDEX(MaxOOP,18,VLOOKUP(E40,PlanColumn,2)),INDEX(MaxOOP,19,VLOOKUP(E40,PlanColumn,2)))</f>
        <v>#N/A</v>
      </c>
      <c r="F68" s="332" t="e">
        <f t="shared" si="5"/>
        <v>#N/A</v>
      </c>
      <c r="G68" s="332" t="e">
        <f t="shared" si="5"/>
        <v>#N/A</v>
      </c>
      <c r="H68" s="332" t="e">
        <f t="shared" si="5"/>
        <v>#N/A</v>
      </c>
      <c r="I68" s="332" t="e">
        <f t="shared" si="5"/>
        <v>#N/A</v>
      </c>
      <c r="J68" s="332" t="e">
        <f t="shared" si="5"/>
        <v>#N/A</v>
      </c>
      <c r="K68" s="332" t="e">
        <f t="shared" si="5"/>
        <v>#N/A</v>
      </c>
    </row>
    <row r="69" spans="1:26" s="331" customFormat="1" hidden="1" x14ac:dyDescent="0.3">
      <c r="C69" s="329" t="s">
        <v>57</v>
      </c>
      <c r="D69" s="333"/>
      <c r="E69" s="333">
        <f t="shared" ref="E69:K69" si="6">+E41</f>
        <v>0</v>
      </c>
      <c r="F69" s="333">
        <f t="shared" si="6"/>
        <v>0</v>
      </c>
      <c r="G69" s="333">
        <f t="shared" si="6"/>
        <v>0</v>
      </c>
      <c r="H69" s="333">
        <f t="shared" si="6"/>
        <v>0</v>
      </c>
      <c r="I69" s="333">
        <f t="shared" si="6"/>
        <v>0</v>
      </c>
      <c r="J69" s="333" t="e">
        <f t="shared" si="6"/>
        <v>#N/A</v>
      </c>
      <c r="K69" s="333" t="e">
        <f t="shared" si="6"/>
        <v>#N/A</v>
      </c>
    </row>
    <row r="70" spans="1:26" s="331" customFormat="1" ht="16.2" hidden="1" thickBot="1" x14ac:dyDescent="0.35">
      <c r="A70" s="328"/>
      <c r="B70" s="328"/>
      <c r="C70" s="329"/>
      <c r="D70" s="334"/>
      <c r="E70" s="334" t="e">
        <f>SUM(E67:E69)</f>
        <v>#N/A</v>
      </c>
      <c r="F70" s="334" t="e">
        <f t="shared" ref="F70:K70" si="7">SUM(F67:F69)</f>
        <v>#N/A</v>
      </c>
      <c r="G70" s="334" t="e">
        <f t="shared" si="7"/>
        <v>#N/A</v>
      </c>
      <c r="H70" s="334" t="e">
        <f t="shared" si="7"/>
        <v>#N/A</v>
      </c>
      <c r="I70" s="334" t="e">
        <f t="shared" si="7"/>
        <v>#N/A</v>
      </c>
      <c r="J70" s="334" t="e">
        <f t="shared" si="7"/>
        <v>#N/A</v>
      </c>
      <c r="K70" s="334" t="e">
        <f t="shared" si="7"/>
        <v>#N/A</v>
      </c>
    </row>
    <row r="71" spans="1:26" s="339" customFormat="1" ht="16.8" hidden="1" thickTop="1" thickBot="1" x14ac:dyDescent="0.35">
      <c r="A71" s="335"/>
      <c r="B71" s="335"/>
      <c r="C71" s="336" t="s">
        <v>58</v>
      </c>
      <c r="D71" s="337"/>
      <c r="E71" s="338" t="e">
        <f t="shared" ref="E71:K71" si="8">+IF(Cashinlieu="No",MIN(E70,0),E70)</f>
        <v>#N/A</v>
      </c>
      <c r="F71" s="338" t="e">
        <f t="shared" si="8"/>
        <v>#N/A</v>
      </c>
      <c r="G71" s="338" t="e">
        <f t="shared" si="8"/>
        <v>#N/A</v>
      </c>
      <c r="H71" s="338" t="e">
        <f t="shared" si="8"/>
        <v>#N/A</v>
      </c>
      <c r="I71" s="338" t="e">
        <f t="shared" si="8"/>
        <v>#N/A</v>
      </c>
      <c r="J71" s="338" t="e">
        <f t="shared" si="8"/>
        <v>#N/A</v>
      </c>
      <c r="K71" s="338" t="e">
        <f t="shared" si="8"/>
        <v>#N/A</v>
      </c>
    </row>
    <row r="72" spans="1:26" s="331" customFormat="1" ht="16.2" hidden="1" thickTop="1" x14ac:dyDescent="0.3">
      <c r="A72" s="328"/>
      <c r="B72" s="328"/>
      <c r="C72" s="340"/>
      <c r="D72" s="341"/>
      <c r="E72" s="342" t="e">
        <f t="shared" ref="E72:K72" si="9">E40</f>
        <v>#N/A</v>
      </c>
      <c r="F72" s="342" t="e">
        <f t="shared" si="9"/>
        <v>#N/A</v>
      </c>
      <c r="G72" s="342" t="e">
        <f t="shared" si="9"/>
        <v>#N/A</v>
      </c>
      <c r="H72" s="342" t="e">
        <f t="shared" si="9"/>
        <v>#N/A</v>
      </c>
      <c r="I72" s="342" t="e">
        <f t="shared" si="9"/>
        <v>#N/A</v>
      </c>
      <c r="J72" s="342" t="e">
        <f t="shared" si="9"/>
        <v>#N/A</v>
      </c>
      <c r="K72" s="342" t="e">
        <f t="shared" si="9"/>
        <v>#N/A</v>
      </c>
    </row>
    <row r="73" spans="1:26" s="331" customFormat="1" hidden="1" x14ac:dyDescent="0.3">
      <c r="A73" s="328"/>
      <c r="B73" s="328"/>
      <c r="C73" s="329" t="s">
        <v>59</v>
      </c>
      <c r="D73" s="341"/>
      <c r="E73" s="341" t="e">
        <f>+E67+E69</f>
        <v>#N/A</v>
      </c>
      <c r="F73" s="341" t="e">
        <f t="shared" ref="F73:K73" si="10">+F67+F69</f>
        <v>#N/A</v>
      </c>
      <c r="G73" s="341" t="e">
        <f t="shared" si="10"/>
        <v>#N/A</v>
      </c>
      <c r="H73" s="341" t="e">
        <f t="shared" si="10"/>
        <v>#N/A</v>
      </c>
      <c r="I73" s="341" t="e">
        <f t="shared" si="10"/>
        <v>#N/A</v>
      </c>
      <c r="J73" s="341" t="e">
        <f t="shared" si="10"/>
        <v>#N/A</v>
      </c>
      <c r="K73" s="341" t="e">
        <f t="shared" si="10"/>
        <v>#N/A</v>
      </c>
    </row>
    <row r="74" spans="1:26" s="331" customFormat="1" hidden="1" x14ac:dyDescent="0.3">
      <c r="A74" s="328"/>
      <c r="B74" s="328"/>
      <c r="C74" s="329" t="s">
        <v>60</v>
      </c>
      <c r="D74" s="341"/>
      <c r="E74" s="341" t="e">
        <f>E68</f>
        <v>#N/A</v>
      </c>
      <c r="F74" s="341" t="e">
        <f t="shared" ref="F74:K74" si="11">F68</f>
        <v>#N/A</v>
      </c>
      <c r="G74" s="341" t="e">
        <f t="shared" si="11"/>
        <v>#N/A</v>
      </c>
      <c r="H74" s="341" t="e">
        <f t="shared" si="11"/>
        <v>#N/A</v>
      </c>
      <c r="I74" s="341" t="e">
        <f t="shared" si="11"/>
        <v>#N/A</v>
      </c>
      <c r="J74" s="341" t="e">
        <f t="shared" si="11"/>
        <v>#N/A</v>
      </c>
      <c r="K74" s="341" t="e">
        <f t="shared" si="11"/>
        <v>#N/A</v>
      </c>
    </row>
    <row r="75" spans="1:26" ht="20.399999999999999" hidden="1" customHeight="1" x14ac:dyDescent="0.3">
      <c r="A75" s="239"/>
      <c r="B75" s="239"/>
      <c r="C75" s="240"/>
    </row>
    <row r="76" spans="1:26" s="346" customFormat="1" hidden="1" x14ac:dyDescent="0.3">
      <c r="A76" s="343"/>
      <c r="B76" s="343"/>
      <c r="C76" s="344" t="s">
        <v>55</v>
      </c>
      <c r="D76" s="345"/>
      <c r="E76" s="345" t="e">
        <f t="shared" ref="E76:K76" si="12">E42</f>
        <v>#N/A</v>
      </c>
      <c r="F76" s="345" t="e">
        <f t="shared" si="12"/>
        <v>#N/A</v>
      </c>
      <c r="G76" s="345" t="e">
        <f t="shared" si="12"/>
        <v>#N/A</v>
      </c>
      <c r="H76" s="345" t="e">
        <f t="shared" si="12"/>
        <v>#N/A</v>
      </c>
      <c r="I76" s="345" t="e">
        <f t="shared" si="12"/>
        <v>#N/A</v>
      </c>
      <c r="J76" s="345" t="e">
        <f t="shared" si="12"/>
        <v>#N/A</v>
      </c>
      <c r="K76" s="345" t="e">
        <f t="shared" si="12"/>
        <v>#N/A</v>
      </c>
    </row>
    <row r="77" spans="1:26" s="346" customFormat="1" hidden="1" x14ac:dyDescent="0.3">
      <c r="A77" s="343"/>
      <c r="B77" s="343"/>
      <c r="C77" s="344" t="s">
        <v>61</v>
      </c>
      <c r="D77" s="347"/>
      <c r="E77" s="347">
        <v>0</v>
      </c>
      <c r="F77" s="347">
        <v>0</v>
      </c>
      <c r="G77" s="347">
        <v>0</v>
      </c>
      <c r="H77" s="347">
        <v>0</v>
      </c>
      <c r="I77" s="347">
        <v>0</v>
      </c>
      <c r="J77" s="347">
        <v>0</v>
      </c>
      <c r="K77" s="347">
        <v>0</v>
      </c>
    </row>
    <row r="78" spans="1:26" s="346" customFormat="1" hidden="1" x14ac:dyDescent="0.3">
      <c r="C78" s="344" t="s">
        <v>57</v>
      </c>
      <c r="D78" s="348"/>
      <c r="E78" s="348">
        <f t="shared" ref="E78:K78" si="13">E41</f>
        <v>0</v>
      </c>
      <c r="F78" s="348">
        <f t="shared" si="13"/>
        <v>0</v>
      </c>
      <c r="G78" s="348">
        <f t="shared" si="13"/>
        <v>0</v>
      </c>
      <c r="H78" s="348">
        <f t="shared" si="13"/>
        <v>0</v>
      </c>
      <c r="I78" s="348">
        <f t="shared" si="13"/>
        <v>0</v>
      </c>
      <c r="J78" s="348" t="e">
        <f t="shared" si="13"/>
        <v>#N/A</v>
      </c>
      <c r="K78" s="348" t="e">
        <f t="shared" si="13"/>
        <v>#N/A</v>
      </c>
    </row>
    <row r="79" spans="1:26" s="346" customFormat="1" ht="16.2" hidden="1" thickBot="1" x14ac:dyDescent="0.35">
      <c r="A79" s="343"/>
      <c r="B79" s="343"/>
      <c r="C79" s="344"/>
      <c r="D79" s="349"/>
      <c r="E79" s="349" t="e">
        <f>SUM(E76:E78)</f>
        <v>#N/A</v>
      </c>
      <c r="F79" s="349" t="e">
        <f t="shared" ref="F79:K79" si="14">SUM(F76:F78)</f>
        <v>#N/A</v>
      </c>
      <c r="G79" s="349" t="e">
        <f t="shared" si="14"/>
        <v>#N/A</v>
      </c>
      <c r="H79" s="349" t="e">
        <f t="shared" si="14"/>
        <v>#N/A</v>
      </c>
      <c r="I79" s="349" t="e">
        <f t="shared" si="14"/>
        <v>#N/A</v>
      </c>
      <c r="J79" s="349" t="e">
        <f t="shared" si="14"/>
        <v>#N/A</v>
      </c>
      <c r="K79" s="349" t="e">
        <f t="shared" si="14"/>
        <v>#N/A</v>
      </c>
    </row>
    <row r="80" spans="1:26" s="354" customFormat="1" ht="16.8" hidden="1" thickTop="1" thickBot="1" x14ac:dyDescent="0.35">
      <c r="A80" s="350"/>
      <c r="B80" s="350"/>
      <c r="C80" s="351" t="s">
        <v>62</v>
      </c>
      <c r="D80" s="352"/>
      <c r="E80" s="353" t="e">
        <f t="shared" ref="E80:K80" si="15">+IF(Cashinlieu="No",MIN(E79,0),E79)</f>
        <v>#N/A</v>
      </c>
      <c r="F80" s="353" t="e">
        <f t="shared" si="15"/>
        <v>#N/A</v>
      </c>
      <c r="G80" s="353" t="e">
        <f t="shared" si="15"/>
        <v>#N/A</v>
      </c>
      <c r="H80" s="353" t="e">
        <f t="shared" si="15"/>
        <v>#N/A</v>
      </c>
      <c r="I80" s="353" t="e">
        <f t="shared" si="15"/>
        <v>#N/A</v>
      </c>
      <c r="J80" s="353" t="e">
        <f t="shared" si="15"/>
        <v>#N/A</v>
      </c>
      <c r="K80" s="353" t="e">
        <f t="shared" si="15"/>
        <v>#N/A</v>
      </c>
    </row>
    <row r="81" spans="1:11" s="354" customFormat="1" ht="16.2" hidden="1" thickTop="1" x14ac:dyDescent="0.3">
      <c r="A81" s="350"/>
      <c r="B81" s="350"/>
      <c r="C81" s="351"/>
      <c r="D81" s="347"/>
      <c r="E81" s="355" t="e">
        <f t="shared" ref="E81:K81" si="16">E40</f>
        <v>#N/A</v>
      </c>
      <c r="F81" s="355" t="e">
        <f t="shared" si="16"/>
        <v>#N/A</v>
      </c>
      <c r="G81" s="355" t="e">
        <f t="shared" si="16"/>
        <v>#N/A</v>
      </c>
      <c r="H81" s="355" t="e">
        <f t="shared" si="16"/>
        <v>#N/A</v>
      </c>
      <c r="I81" s="355" t="e">
        <f t="shared" si="16"/>
        <v>#N/A</v>
      </c>
      <c r="J81" s="355" t="e">
        <f t="shared" si="16"/>
        <v>#N/A</v>
      </c>
      <c r="K81" s="355" t="e">
        <f t="shared" si="16"/>
        <v>#N/A</v>
      </c>
    </row>
    <row r="82" spans="1:11" s="354" customFormat="1" hidden="1" x14ac:dyDescent="0.3">
      <c r="A82" s="350"/>
      <c r="B82" s="350"/>
      <c r="C82" s="344" t="s">
        <v>59</v>
      </c>
      <c r="D82" s="347"/>
      <c r="E82" s="347" t="e">
        <f>E73</f>
        <v>#N/A</v>
      </c>
      <c r="F82" s="347" t="e">
        <f t="shared" ref="F82:K82" si="17">F73</f>
        <v>#N/A</v>
      </c>
      <c r="G82" s="347" t="e">
        <f t="shared" si="17"/>
        <v>#N/A</v>
      </c>
      <c r="H82" s="347" t="e">
        <f t="shared" si="17"/>
        <v>#N/A</v>
      </c>
      <c r="I82" s="347" t="e">
        <f t="shared" si="17"/>
        <v>#N/A</v>
      </c>
      <c r="J82" s="347" t="e">
        <f t="shared" si="17"/>
        <v>#N/A</v>
      </c>
      <c r="K82" s="347" t="e">
        <f t="shared" si="17"/>
        <v>#N/A</v>
      </c>
    </row>
    <row r="83" spans="1:11" s="346" customFormat="1" hidden="1" x14ac:dyDescent="0.3">
      <c r="A83" s="343"/>
      <c r="B83" s="343"/>
      <c r="C83" s="344" t="s">
        <v>60</v>
      </c>
      <c r="D83" s="345"/>
      <c r="E83" s="345">
        <f>E77</f>
        <v>0</v>
      </c>
      <c r="F83" s="345">
        <f t="shared" ref="F83:K83" si="18">F77</f>
        <v>0</v>
      </c>
      <c r="G83" s="345">
        <f t="shared" si="18"/>
        <v>0</v>
      </c>
      <c r="H83" s="345">
        <f t="shared" si="18"/>
        <v>0</v>
      </c>
      <c r="I83" s="345">
        <f t="shared" si="18"/>
        <v>0</v>
      </c>
      <c r="J83" s="345">
        <f t="shared" si="18"/>
        <v>0</v>
      </c>
      <c r="K83" s="345">
        <f t="shared" si="18"/>
        <v>0</v>
      </c>
    </row>
    <row r="84" spans="1:11" hidden="1" x14ac:dyDescent="0.3">
      <c r="A84" s="239"/>
      <c r="B84" s="239"/>
      <c r="C84" s="356"/>
    </row>
    <row r="85" spans="1:11" s="361" customFormat="1" ht="16.2" hidden="1" thickBot="1" x14ac:dyDescent="0.35">
      <c r="A85" s="357"/>
      <c r="B85" s="357"/>
      <c r="C85" s="358" t="s">
        <v>63</v>
      </c>
      <c r="D85" s="359"/>
      <c r="E85" s="360" t="e">
        <f t="shared" ref="E85:K85" si="19">++ROUND(MAX(E50,E51),0)</f>
        <v>#N/A</v>
      </c>
      <c r="F85" s="360" t="e">
        <f t="shared" si="19"/>
        <v>#N/A</v>
      </c>
      <c r="G85" s="360" t="e">
        <f t="shared" si="19"/>
        <v>#N/A</v>
      </c>
      <c r="H85" s="360" t="e">
        <f t="shared" si="19"/>
        <v>#N/A</v>
      </c>
      <c r="I85" s="360" t="e">
        <f t="shared" si="19"/>
        <v>#N/A</v>
      </c>
      <c r="J85" s="360" t="e">
        <f t="shared" si="19"/>
        <v>#N/A</v>
      </c>
      <c r="K85" s="360" t="e">
        <f t="shared" si="19"/>
        <v>#N/A</v>
      </c>
    </row>
    <row r="86" spans="1:11" s="366" customFormat="1" ht="16.2" hidden="1" thickTop="1" x14ac:dyDescent="0.3">
      <c r="A86" s="362"/>
      <c r="B86" s="362"/>
      <c r="C86" s="363"/>
      <c r="D86" s="364"/>
      <c r="E86" s="365" t="e">
        <f>E$40</f>
        <v>#N/A</v>
      </c>
      <c r="F86" s="365" t="e">
        <f t="shared" ref="F86:K86" si="20">F$40</f>
        <v>#N/A</v>
      </c>
      <c r="G86" s="365" t="e">
        <f t="shared" si="20"/>
        <v>#N/A</v>
      </c>
      <c r="H86" s="365" t="e">
        <f t="shared" si="20"/>
        <v>#N/A</v>
      </c>
      <c r="I86" s="365" t="e">
        <f t="shared" si="20"/>
        <v>#N/A</v>
      </c>
      <c r="J86" s="365" t="e">
        <f t="shared" si="20"/>
        <v>#N/A</v>
      </c>
      <c r="K86" s="365" t="e">
        <f t="shared" si="20"/>
        <v>#N/A</v>
      </c>
    </row>
    <row r="87" spans="1:11" s="366" customFormat="1" hidden="1" x14ac:dyDescent="0.3">
      <c r="A87" s="362"/>
      <c r="B87" s="362"/>
      <c r="C87" s="367" t="s">
        <v>59</v>
      </c>
      <c r="D87" s="364"/>
      <c r="E87" s="364" t="e">
        <f>E73</f>
        <v>#N/A</v>
      </c>
      <c r="F87" s="364" t="e">
        <f t="shared" ref="F87:K87" si="21">F73</f>
        <v>#N/A</v>
      </c>
      <c r="G87" s="364" t="e">
        <f t="shared" si="21"/>
        <v>#N/A</v>
      </c>
      <c r="H87" s="364" t="e">
        <f t="shared" si="21"/>
        <v>#N/A</v>
      </c>
      <c r="I87" s="364" t="e">
        <f t="shared" si="21"/>
        <v>#N/A</v>
      </c>
      <c r="J87" s="364" t="e">
        <f t="shared" si="21"/>
        <v>#N/A</v>
      </c>
      <c r="K87" s="364" t="e">
        <f t="shared" si="21"/>
        <v>#N/A</v>
      </c>
    </row>
    <row r="88" spans="1:11" s="368" customFormat="1" hidden="1" x14ac:dyDescent="0.3">
      <c r="C88" s="367" t="s">
        <v>60</v>
      </c>
      <c r="D88" s="369"/>
      <c r="E88" s="369" t="e">
        <f>E48</f>
        <v>#N/A</v>
      </c>
      <c r="F88" s="369" t="e">
        <f t="shared" ref="F88:K88" si="22">F48</f>
        <v>#N/A</v>
      </c>
      <c r="G88" s="369" t="e">
        <f t="shared" si="22"/>
        <v>#N/A</v>
      </c>
      <c r="H88" s="369" t="e">
        <f t="shared" si="22"/>
        <v>#N/A</v>
      </c>
      <c r="I88" s="369" t="e">
        <f t="shared" si="22"/>
        <v>#N/A</v>
      </c>
      <c r="J88" s="369" t="e">
        <f t="shared" si="22"/>
        <v>#N/A</v>
      </c>
      <c r="K88" s="369" t="e">
        <f t="shared" si="22"/>
        <v>#N/A</v>
      </c>
    </row>
    <row r="89" spans="1:11" hidden="1" x14ac:dyDescent="0.3"/>
    <row r="90" spans="1:11" hidden="1" x14ac:dyDescent="0.3"/>
    <row r="91" spans="1:11" hidden="1" x14ac:dyDescent="0.3"/>
  </sheetData>
  <mergeCells count="25">
    <mergeCell ref="A3:E3"/>
    <mergeCell ref="A4:E4"/>
    <mergeCell ref="H12:I12"/>
    <mergeCell ref="A50:B51"/>
    <mergeCell ref="B43:B44"/>
    <mergeCell ref="A18:L18"/>
    <mergeCell ref="J6:K6"/>
    <mergeCell ref="C6:D6"/>
    <mergeCell ref="E6:H6"/>
    <mergeCell ref="B12:G12"/>
    <mergeCell ref="A55:L55"/>
    <mergeCell ref="C48:D48"/>
    <mergeCell ref="C53:K53"/>
    <mergeCell ref="A8:L8"/>
    <mergeCell ref="C52:K52"/>
    <mergeCell ref="A39:K39"/>
    <mergeCell ref="H13:I13"/>
    <mergeCell ref="H14:I14"/>
    <mergeCell ref="H15:I15"/>
    <mergeCell ref="J12:K12"/>
    <mergeCell ref="J13:K13"/>
    <mergeCell ref="J14:K14"/>
    <mergeCell ref="J15:K15"/>
    <mergeCell ref="D10:I10"/>
    <mergeCell ref="K10:L10"/>
  </mergeCells>
  <conditionalFormatting sqref="E40:K40 E50:K51">
    <cfRule type="expression" dxfId="3" priority="1">
      <formula>E40 = $H$14</formula>
    </cfRule>
  </conditionalFormatting>
  <conditionalFormatting sqref="J40">
    <cfRule type="cellIs" dxfId="1" priority="17" operator="equal">
      <formula>$O$8</formula>
    </cfRule>
    <cfRule type="colorScale" priority="18">
      <colorScale>
        <cfvo type="min"/>
        <cfvo type="max"/>
        <color rgb="FFFF7128"/>
        <color rgb="FFFFEF9C"/>
      </colorScale>
    </cfRule>
  </conditionalFormatting>
  <conditionalFormatting sqref="J66">
    <cfRule type="cellIs" dxfId="0" priority="7" operator="equal">
      <formula>$O$8</formula>
    </cfRule>
    <cfRule type="colorScale" priority="8">
      <colorScale>
        <cfvo type="min"/>
        <cfvo type="max"/>
        <color rgb="FFFF7128"/>
        <color rgb="FFFFEF9C"/>
      </colorScale>
    </cfRule>
  </conditionalFormatting>
  <dataValidations disablePrompts="1" count="1">
    <dataValidation type="whole" showInputMessage="1" showErrorMessage="1" prompt="You must input a number between 0 and 366 in this cell." sqref="D56:F65 N56:Q65" xr:uid="{2345E0E7-996B-476F-8972-FF0F2BBFA539}">
      <formula1>0</formula1>
      <formula2>366</formula2>
    </dataValidation>
  </dataValidations>
  <printOptions horizontalCentered="1"/>
  <pageMargins left="0.32" right="0.33" top="0.19" bottom="0.19" header="0.17" footer="0.2"/>
  <pageSetup scale="54"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29" id="{EE610B28-6D65-48F1-B905-80CCF99570E6}">
            <xm:f>E40 = Summary!$K$17</xm:f>
            <x14:dxf>
              <fill>
                <patternFill patternType="solid">
                  <bgColor theme="4" tint="0.59996337778862885"/>
                </patternFill>
              </fill>
              <border>
                <left/>
                <right/>
                <top/>
                <bottom/>
              </border>
            </x14:dxf>
          </x14:cfRule>
          <xm:sqref>E40:K40 E50:K51</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B165"/>
  <sheetViews>
    <sheetView topLeftCell="A22" zoomScale="70" zoomScaleNormal="70" workbookViewId="0">
      <selection activeCell="A31" sqref="A31:XFD31"/>
    </sheetView>
  </sheetViews>
  <sheetFormatPr defaultColWidth="9.109375" defaultRowHeight="15.6" x14ac:dyDescent="0.3"/>
  <cols>
    <col min="1" max="1" width="52.109375" style="1" customWidth="1"/>
    <col min="2" max="7" width="11.109375" customWidth="1"/>
    <col min="8" max="8" width="11.6640625" customWidth="1"/>
    <col min="9" max="9" width="19.44140625" customWidth="1"/>
    <col min="10" max="11" width="14.109375" style="158" customWidth="1"/>
    <col min="12" max="12" width="10.44140625" style="158" customWidth="1"/>
    <col min="13" max="13" width="10.44140625" customWidth="1"/>
    <col min="14" max="14" width="9.33203125" customWidth="1"/>
    <col min="15" max="15" width="8.109375" bestFit="1" customWidth="1"/>
    <col min="16" max="16" width="17.33203125" bestFit="1" customWidth="1"/>
    <col min="17" max="17" width="8.88671875" bestFit="1" customWidth="1"/>
    <col min="18" max="21" width="8.6640625" bestFit="1" customWidth="1"/>
    <col min="22" max="22" width="5.33203125" bestFit="1" customWidth="1"/>
    <col min="23" max="23" width="9.33203125" hidden="1" customWidth="1"/>
    <col min="24" max="24" width="20.5546875" bestFit="1" customWidth="1"/>
    <col min="25" max="25" width="8.88671875" bestFit="1" customWidth="1"/>
    <col min="26" max="29" width="8.6640625" bestFit="1" customWidth="1"/>
    <col min="30" max="30" width="5.33203125" bestFit="1" customWidth="1"/>
    <col min="31" max="31" width="9.33203125" hidden="1" customWidth="1"/>
    <col min="32" max="32" width="12.44140625" bestFit="1" customWidth="1"/>
    <col min="38" max="38" width="2.5546875" customWidth="1"/>
    <col min="46" max="46" width="9.5546875" bestFit="1" customWidth="1"/>
  </cols>
  <sheetData>
    <row r="1" spans="1:37" s="3" customFormat="1" ht="33" x14ac:dyDescent="0.45">
      <c r="A1" s="119"/>
      <c r="B1" s="2" t="s">
        <v>5</v>
      </c>
      <c r="C1" s="2" t="s">
        <v>64</v>
      </c>
      <c r="D1" s="2" t="s">
        <v>8</v>
      </c>
      <c r="E1" s="2" t="s">
        <v>9</v>
      </c>
      <c r="F1" s="2" t="s">
        <v>10</v>
      </c>
      <c r="G1" s="2" t="s">
        <v>11</v>
      </c>
      <c r="H1" s="2" t="s">
        <v>65</v>
      </c>
      <c r="I1" s="120" t="s">
        <v>66</v>
      </c>
      <c r="J1" s="155" t="s">
        <v>67</v>
      </c>
      <c r="K1" s="170"/>
      <c r="L1" s="170"/>
      <c r="M1" s="6"/>
      <c r="N1"/>
      <c r="O1" s="62"/>
    </row>
    <row r="2" spans="1:37" s="3" customFormat="1" ht="17.399999999999999" x14ac:dyDescent="0.45">
      <c r="A2" s="121" t="str">
        <f>+'Scenario Input'!C15</f>
        <v>Preventive wellness or annual exam</v>
      </c>
      <c r="B2" s="61">
        <f>+'Scenario Input'!E15</f>
        <v>0</v>
      </c>
      <c r="C2" s="61">
        <f>+'Scenario Input'!G15</f>
        <v>0</v>
      </c>
      <c r="D2" s="61">
        <f>+'Scenario Input'!I15</f>
        <v>0</v>
      </c>
      <c r="E2" s="61">
        <f>+'Scenario Input'!K15</f>
        <v>0</v>
      </c>
      <c r="F2" s="61">
        <f>+'Scenario Input'!M15</f>
        <v>0</v>
      </c>
      <c r="G2" s="61">
        <f>+'Scenario Input'!O15</f>
        <v>0</v>
      </c>
      <c r="H2" s="61">
        <f>SUM(B2:G2)</f>
        <v>0</v>
      </c>
      <c r="I2" s="118">
        <f>+'Scenario Input'!D15</f>
        <v>150</v>
      </c>
      <c r="J2" s="118">
        <f>+H2*I2</f>
        <v>0</v>
      </c>
      <c r="K2" s="171"/>
      <c r="L2" s="171"/>
      <c r="M2" s="68"/>
      <c r="N2" s="17"/>
      <c r="O2" s="62"/>
    </row>
    <row r="3" spans="1:37" s="3" customFormat="1" ht="9.6" customHeight="1" x14ac:dyDescent="0.45">
      <c r="A3" s="121"/>
      <c r="B3" s="61"/>
      <c r="C3" s="61"/>
      <c r="D3" s="61"/>
      <c r="E3" s="61"/>
      <c r="F3" s="61"/>
      <c r="G3" s="61"/>
      <c r="H3" s="61"/>
      <c r="I3" s="118"/>
      <c r="J3" s="118"/>
      <c r="K3" s="171"/>
      <c r="L3" s="171"/>
      <c r="M3" s="68"/>
      <c r="N3" s="17"/>
      <c r="O3" s="62"/>
    </row>
    <row r="4" spans="1:37" s="3" customFormat="1" ht="17.399999999999999" x14ac:dyDescent="0.45">
      <c r="A4" s="121" t="str">
        <f>+'Scenario Input'!C17</f>
        <v>Health and Wellness Center visits not listed above</v>
      </c>
      <c r="B4" s="61">
        <f>+'Scenario Input'!E17</f>
        <v>0</v>
      </c>
      <c r="C4" s="61">
        <f>+'Scenario Input'!G17</f>
        <v>0</v>
      </c>
      <c r="D4" s="61">
        <f>+'Scenario Input'!I17</f>
        <v>0</v>
      </c>
      <c r="E4" s="61">
        <f>+'Scenario Input'!K17</f>
        <v>0</v>
      </c>
      <c r="F4" s="61">
        <f>+'Scenario Input'!M17</f>
        <v>0</v>
      </c>
      <c r="G4" s="61">
        <f>+'Scenario Input'!O17</f>
        <v>0</v>
      </c>
      <c r="H4" s="61">
        <f t="shared" ref="H4:H21" si="0">SUM(B4:G4)</f>
        <v>0</v>
      </c>
      <c r="I4" s="118">
        <f>+'Scenario Input'!D17</f>
        <v>25</v>
      </c>
      <c r="J4" s="118">
        <f t="shared" ref="J4:J6" si="1">+H4*I4</f>
        <v>0</v>
      </c>
      <c r="K4" s="171"/>
      <c r="L4" s="171"/>
      <c r="M4" s="68"/>
      <c r="N4" s="17"/>
      <c r="O4" s="62"/>
    </row>
    <row r="5" spans="1:37" s="3" customFormat="1" ht="17.399999999999999" x14ac:dyDescent="0.45">
      <c r="A5" s="121"/>
      <c r="B5" s="61"/>
      <c r="C5" s="61"/>
      <c r="D5" s="61"/>
      <c r="E5" s="61"/>
      <c r="F5" s="61"/>
      <c r="G5" s="61"/>
      <c r="H5" s="61"/>
      <c r="I5" s="118"/>
      <c r="J5" s="118"/>
      <c r="K5" s="171"/>
      <c r="L5" s="171"/>
      <c r="M5" s="68"/>
      <c r="N5" s="17"/>
      <c r="O5" s="62"/>
    </row>
    <row r="6" spans="1:37" s="3" customFormat="1" ht="17.399999999999999" x14ac:dyDescent="0.45">
      <c r="A6" s="121" t="str">
        <f>+'Scenario Input'!C19</f>
        <v>MDLive (telemedicine)</v>
      </c>
      <c r="B6" s="61">
        <f>+'Scenario Input'!E19</f>
        <v>0</v>
      </c>
      <c r="C6" s="61">
        <f>+'Scenario Input'!G19</f>
        <v>0</v>
      </c>
      <c r="D6" s="61">
        <f>+'Scenario Input'!I19</f>
        <v>0</v>
      </c>
      <c r="E6" s="61">
        <f>+'Scenario Input'!K19</f>
        <v>0</v>
      </c>
      <c r="F6" s="61">
        <f>+'Scenario Input'!M19</f>
        <v>0</v>
      </c>
      <c r="G6" s="61">
        <f>+'Scenario Input'!O19</f>
        <v>0</v>
      </c>
      <c r="H6" s="61">
        <f t="shared" si="0"/>
        <v>0</v>
      </c>
      <c r="I6" s="118">
        <f>+'Scenario Input'!D19</f>
        <v>0</v>
      </c>
      <c r="J6" s="118">
        <f t="shared" si="1"/>
        <v>0</v>
      </c>
      <c r="K6" s="171"/>
      <c r="L6" s="171"/>
      <c r="M6" s="68"/>
      <c r="N6" s="17"/>
      <c r="O6" s="62"/>
    </row>
    <row r="7" spans="1:37" s="3" customFormat="1" ht="17.399999999999999" x14ac:dyDescent="0.45">
      <c r="A7" s="121"/>
      <c r="B7" s="61"/>
      <c r="C7" s="61"/>
      <c r="D7" s="61"/>
      <c r="E7" s="61"/>
      <c r="F7" s="61"/>
      <c r="G7" s="61"/>
      <c r="H7" s="61"/>
      <c r="I7" s="118"/>
      <c r="J7" s="118"/>
      <c r="K7" s="171"/>
      <c r="L7" s="171"/>
      <c r="M7" s="68"/>
      <c r="N7" s="17"/>
      <c r="O7" s="62"/>
    </row>
    <row r="8" spans="1:37" s="3" customFormat="1" ht="17.399999999999999" x14ac:dyDescent="0.45">
      <c r="A8" s="121" t="str">
        <f>+'Scenario Input'!C21</f>
        <v>Primary care office visits not listed above</v>
      </c>
      <c r="B8" s="61">
        <f>+'Scenario Input'!E21</f>
        <v>0</v>
      </c>
      <c r="C8" s="61">
        <f>+'Scenario Input'!G21</f>
        <v>0</v>
      </c>
      <c r="D8" s="61">
        <f>+'Scenario Input'!I21</f>
        <v>0</v>
      </c>
      <c r="E8" s="61">
        <f>+'Scenario Input'!K21</f>
        <v>0</v>
      </c>
      <c r="F8" s="61">
        <f>+'Scenario Input'!M21</f>
        <v>0</v>
      </c>
      <c r="G8" s="61">
        <f>+'Scenario Input'!O21</f>
        <v>0</v>
      </c>
      <c r="H8" s="61">
        <f t="shared" ref="H8" si="2">SUM(B8:G8)</f>
        <v>0</v>
      </c>
      <c r="I8" s="118">
        <f>+'Scenario Input'!D21</f>
        <v>200</v>
      </c>
      <c r="J8" s="118">
        <f t="shared" ref="J8" si="3">+H8*I8</f>
        <v>0</v>
      </c>
      <c r="K8" s="171"/>
      <c r="L8" s="178" t="s">
        <v>68</v>
      </c>
      <c r="M8" s="68"/>
      <c r="N8" s="17"/>
      <c r="O8" s="62"/>
    </row>
    <row r="9" spans="1:37" s="3" customFormat="1" ht="17.399999999999999" x14ac:dyDescent="0.45">
      <c r="A9" s="121"/>
      <c r="B9" s="179"/>
      <c r="C9" s="179"/>
      <c r="D9" s="179"/>
      <c r="E9" s="179"/>
      <c r="F9" s="179"/>
      <c r="G9" s="179"/>
      <c r="H9" s="61"/>
      <c r="I9" s="118"/>
      <c r="J9" s="118"/>
      <c r="K9" s="171"/>
      <c r="L9" s="178"/>
      <c r="M9" s="68"/>
      <c r="N9" s="17"/>
      <c r="O9" s="62"/>
    </row>
    <row r="10" spans="1:37" s="3" customFormat="1" ht="31.2" x14ac:dyDescent="0.45">
      <c r="A10" s="121" t="str">
        <f>+'Scenario Input'!C23</f>
        <v>Other office visits (specialists, urgent care, mental health) not listed above</v>
      </c>
      <c r="B10" s="61">
        <f>+'Scenario Input'!E23</f>
        <v>0</v>
      </c>
      <c r="C10" s="61">
        <f>+'Scenario Input'!G23</f>
        <v>0</v>
      </c>
      <c r="D10" s="61">
        <f>+'Scenario Input'!I23</f>
        <v>0</v>
      </c>
      <c r="E10" s="61">
        <f>+'Scenario Input'!K23</f>
        <v>0</v>
      </c>
      <c r="F10" s="61">
        <f>+'Scenario Input'!M23</f>
        <v>0</v>
      </c>
      <c r="G10" s="61">
        <f>+'Scenario Input'!O23</f>
        <v>0</v>
      </c>
      <c r="H10" s="61">
        <f t="shared" ref="H10" si="4">SUM(B10:G10)</f>
        <v>0</v>
      </c>
      <c r="I10" s="118">
        <f>+'Scenario Input'!D23</f>
        <v>300</v>
      </c>
      <c r="J10" s="118">
        <f t="shared" ref="J10" si="5">+H10*I10</f>
        <v>0</v>
      </c>
      <c r="K10" s="171"/>
      <c r="M10" s="68"/>
      <c r="N10" s="17"/>
      <c r="O10" s="62"/>
    </row>
    <row r="11" spans="1:37" s="3" customFormat="1" ht="17.399999999999999" x14ac:dyDescent="0.45">
      <c r="A11" s="121"/>
      <c r="B11" s="61"/>
      <c r="C11" s="61"/>
      <c r="D11" s="61"/>
      <c r="E11" s="61"/>
      <c r="F11" s="61"/>
      <c r="G11" s="61"/>
      <c r="H11" s="61"/>
      <c r="I11" s="118"/>
      <c r="J11" s="118"/>
      <c r="K11" s="171"/>
      <c r="M11" s="68"/>
      <c r="N11" s="17"/>
      <c r="O11" s="62"/>
    </row>
    <row r="12" spans="1:37" s="70" customFormat="1" ht="31.2" x14ac:dyDescent="0.45">
      <c r="A12" s="121" t="str">
        <f>+'Scenario Input'!C25</f>
        <v>Physical, occupational, speech, chiropractic or acupuncture therapy visits</v>
      </c>
      <c r="B12" s="61">
        <f>+'Scenario Input'!E25</f>
        <v>0</v>
      </c>
      <c r="C12" s="61">
        <f>+'Scenario Input'!G25</f>
        <v>0</v>
      </c>
      <c r="D12" s="61">
        <f>+'Scenario Input'!I25</f>
        <v>0</v>
      </c>
      <c r="E12" s="61">
        <f>+'Scenario Input'!K25</f>
        <v>0</v>
      </c>
      <c r="F12" s="61">
        <f>+'Scenario Input'!M25</f>
        <v>0</v>
      </c>
      <c r="G12" s="61">
        <f>+'Scenario Input'!O25</f>
        <v>0</v>
      </c>
      <c r="H12" s="61">
        <f t="shared" ref="H12" si="6">SUM(B12:G12)</f>
        <v>0</v>
      </c>
      <c r="I12" s="118">
        <f>+'Scenario Input'!D25</f>
        <v>150</v>
      </c>
      <c r="J12" s="118">
        <f t="shared" ref="J12" si="7">+H12*I12</f>
        <v>0</v>
      </c>
      <c r="K12" s="171"/>
      <c r="L12" s="171"/>
      <c r="M12" s="68"/>
      <c r="N12" s="17"/>
      <c r="O12" s="69"/>
      <c r="AF12" s="3"/>
      <c r="AG12" s="3"/>
      <c r="AH12" s="3"/>
      <c r="AI12" s="3"/>
      <c r="AJ12" s="3"/>
      <c r="AK12" s="3"/>
    </row>
    <row r="13" spans="1:37" s="70" customFormat="1" ht="17.399999999999999" x14ac:dyDescent="0.45">
      <c r="A13" s="121"/>
      <c r="B13" s="61"/>
      <c r="C13" s="61"/>
      <c r="D13" s="61"/>
      <c r="E13" s="61"/>
      <c r="F13" s="61"/>
      <c r="G13" s="61"/>
      <c r="H13" s="61"/>
      <c r="I13" s="118"/>
      <c r="J13" s="118"/>
      <c r="K13" s="171"/>
      <c r="L13" s="171"/>
      <c r="M13" s="68"/>
      <c r="N13" s="17"/>
      <c r="O13" s="69"/>
      <c r="AF13" s="3"/>
      <c r="AG13" s="3"/>
      <c r="AH13" s="3"/>
      <c r="AI13" s="3"/>
      <c r="AJ13" s="3"/>
      <c r="AK13" s="3"/>
    </row>
    <row r="14" spans="1:37" s="70" customFormat="1" ht="17.399999999999999" x14ac:dyDescent="0.45">
      <c r="A14" s="121" t="str">
        <f>+'Scenario Input'!C27</f>
        <v>Inpatient hospital admissions (not days)</v>
      </c>
      <c r="B14" s="61">
        <f>+'Scenario Input'!E27</f>
        <v>0</v>
      </c>
      <c r="C14" s="61">
        <f>+'Scenario Input'!G27</f>
        <v>0</v>
      </c>
      <c r="D14" s="61">
        <f>+'Scenario Input'!I27</f>
        <v>0</v>
      </c>
      <c r="E14" s="61">
        <f>+'Scenario Input'!K27</f>
        <v>0</v>
      </c>
      <c r="F14" s="61">
        <f>+'Scenario Input'!M27</f>
        <v>0</v>
      </c>
      <c r="G14" s="61">
        <f>+'Scenario Input'!O27</f>
        <v>0</v>
      </c>
      <c r="H14" s="61">
        <f t="shared" ref="H14" si="8">SUM(B14:G14)</f>
        <v>0</v>
      </c>
      <c r="I14" s="118">
        <f>+'Scenario Input'!D27</f>
        <v>40000</v>
      </c>
      <c r="J14" s="118">
        <f t="shared" ref="J14" si="9">+H14*I14</f>
        <v>0</v>
      </c>
      <c r="K14" s="171"/>
      <c r="L14" s="171"/>
      <c r="M14" s="68"/>
      <c r="N14" s="17"/>
      <c r="O14" s="69"/>
      <c r="AF14" s="3"/>
      <c r="AG14" s="3"/>
      <c r="AH14" s="3"/>
      <c r="AI14" s="3"/>
      <c r="AJ14" s="3"/>
      <c r="AK14" s="3"/>
    </row>
    <row r="15" spans="1:37" s="70" customFormat="1" ht="17.399999999999999" x14ac:dyDescent="0.45">
      <c r="A15" s="121"/>
      <c r="B15" s="61"/>
      <c r="C15" s="61"/>
      <c r="D15" s="134"/>
      <c r="E15" s="134"/>
      <c r="F15" s="134"/>
      <c r="G15" s="134"/>
      <c r="H15" s="61"/>
      <c r="I15" s="118"/>
      <c r="J15" s="118"/>
      <c r="K15" s="171"/>
      <c r="L15" s="171"/>
      <c r="M15" s="68"/>
      <c r="N15" s="17"/>
      <c r="O15" s="69"/>
      <c r="AF15" s="3"/>
      <c r="AG15" s="3"/>
      <c r="AH15" s="3"/>
      <c r="AI15" s="3"/>
      <c r="AJ15" s="3"/>
      <c r="AK15" s="3"/>
    </row>
    <row r="16" spans="1:37" s="69" customFormat="1" ht="17.399999999999999" x14ac:dyDescent="0.45">
      <c r="A16" s="121" t="str">
        <f>+'Scenario Input'!C29</f>
        <v>Emergency room visits (not admitted)</v>
      </c>
      <c r="B16" s="61">
        <f>+'Scenario Input'!E29</f>
        <v>0</v>
      </c>
      <c r="C16" s="61">
        <f>+'Scenario Input'!G29</f>
        <v>0</v>
      </c>
      <c r="D16" s="61">
        <f>+'Scenario Input'!I29</f>
        <v>0</v>
      </c>
      <c r="E16" s="61">
        <f>+'Scenario Input'!K29</f>
        <v>0</v>
      </c>
      <c r="F16" s="61">
        <f>+'Scenario Input'!M29</f>
        <v>0</v>
      </c>
      <c r="G16" s="61">
        <f>+'Scenario Input'!O29</f>
        <v>0</v>
      </c>
      <c r="H16" s="61">
        <f t="shared" ref="H16" si="10">SUM(B16:G16)</f>
        <v>0</v>
      </c>
      <c r="I16" s="118">
        <f>+'Scenario Input'!D29</f>
        <v>4000</v>
      </c>
      <c r="J16" s="118">
        <f t="shared" ref="J16" si="11">+H16*I16</f>
        <v>0</v>
      </c>
      <c r="K16" s="171"/>
      <c r="L16" s="171"/>
      <c r="M16" s="68"/>
      <c r="N16" s="17"/>
      <c r="AF16" s="3"/>
      <c r="AG16" s="3"/>
      <c r="AH16" s="3"/>
      <c r="AI16" s="3"/>
      <c r="AJ16" s="3"/>
      <c r="AK16" s="3"/>
    </row>
    <row r="17" spans="1:54" s="69" customFormat="1" ht="17.399999999999999" x14ac:dyDescent="0.45">
      <c r="A17" s="121"/>
      <c r="B17" s="61"/>
      <c r="C17" s="61"/>
      <c r="D17" s="61"/>
      <c r="E17" s="61"/>
      <c r="F17" s="61"/>
      <c r="G17" s="61"/>
      <c r="H17" s="61"/>
      <c r="I17" s="118"/>
      <c r="J17" s="118"/>
      <c r="K17" s="171"/>
      <c r="L17" s="171"/>
      <c r="M17" s="68"/>
      <c r="N17" s="17"/>
      <c r="AF17" s="3"/>
      <c r="AG17" s="3"/>
      <c r="AH17" s="3"/>
      <c r="AI17" s="3"/>
      <c r="AJ17" s="3"/>
      <c r="AK17" s="3"/>
    </row>
    <row r="18" spans="1:54" s="69" customFormat="1" ht="62.4" x14ac:dyDescent="0.45">
      <c r="A18" s="121" t="str">
        <f>+'Scenario Input'!C31</f>
        <v>Other services not listed above. Estimate total network charges via Estimate Your Cost at www.anthem.com/ca/sisc or by review of prior years' Explanations of Benefits</v>
      </c>
      <c r="B18" s="61">
        <f>+'Scenario Input'!E31</f>
        <v>0</v>
      </c>
      <c r="C18" s="61">
        <f>+'Scenario Input'!G31</f>
        <v>0</v>
      </c>
      <c r="D18" s="61">
        <f>+'Scenario Input'!I31</f>
        <v>0</v>
      </c>
      <c r="E18" s="61">
        <f>+'Scenario Input'!K31</f>
        <v>0</v>
      </c>
      <c r="F18" s="61">
        <f>+'Scenario Input'!M31</f>
        <v>0</v>
      </c>
      <c r="G18" s="61">
        <f>+'Scenario Input'!O31</f>
        <v>0</v>
      </c>
      <c r="H18" s="61">
        <f t="shared" ref="H18" si="12">SUM(B18:G18)</f>
        <v>0</v>
      </c>
      <c r="I18" s="118" t="str">
        <f>+'Scenario Input'!D31</f>
        <v>n/a</v>
      </c>
      <c r="J18" s="118">
        <f>+H18</f>
        <v>0</v>
      </c>
      <c r="K18" s="171"/>
      <c r="L18" s="171"/>
      <c r="M18" s="68"/>
      <c r="N18" s="17"/>
      <c r="AF18" s="3"/>
      <c r="AG18" s="3"/>
      <c r="AH18" s="3"/>
      <c r="AI18" s="3"/>
      <c r="AJ18" s="3"/>
      <c r="AK18" s="3"/>
    </row>
    <row r="19" spans="1:54" s="69" customFormat="1" ht="17.399999999999999" x14ac:dyDescent="0.45">
      <c r="A19" s="121"/>
      <c r="B19" s="61"/>
      <c r="C19" s="61"/>
      <c r="D19" s="61"/>
      <c r="E19" s="61"/>
      <c r="F19" s="61"/>
      <c r="G19" s="61"/>
      <c r="H19" s="61"/>
      <c r="I19" s="118"/>
      <c r="J19" s="118"/>
      <c r="K19" s="171"/>
      <c r="L19" s="171"/>
      <c r="M19" s="68"/>
      <c r="N19" s="17"/>
      <c r="AF19" s="3"/>
      <c r="AG19" s="3"/>
      <c r="AH19" s="3"/>
      <c r="AI19" s="3"/>
      <c r="AJ19" s="3"/>
      <c r="AK19" s="3"/>
    </row>
    <row r="20" spans="1:54" s="69" customFormat="1" ht="31.2" x14ac:dyDescent="0.45">
      <c r="A20" s="121" t="str">
        <f>+'Scenario Input'!C33</f>
        <v>Surgeries contracted with Carrum Health (hip/knee replacement or spinal fusion -- at Carrum facility, only)</v>
      </c>
      <c r="B20" s="61">
        <f>+'Scenario Input'!E33</f>
        <v>0</v>
      </c>
      <c r="C20" s="61">
        <f>+'Scenario Input'!G33</f>
        <v>0</v>
      </c>
      <c r="D20" s="61">
        <f>+'Scenario Input'!I33</f>
        <v>0</v>
      </c>
      <c r="E20" s="61">
        <f>+'Scenario Input'!K33</f>
        <v>0</v>
      </c>
      <c r="F20" s="61">
        <f>+'Scenario Input'!M33</f>
        <v>0</v>
      </c>
      <c r="G20" s="61">
        <f>+'Scenario Input'!O33</f>
        <v>0</v>
      </c>
      <c r="H20" s="61">
        <f t="shared" ref="H20" si="13">SUM(B20:G20)</f>
        <v>0</v>
      </c>
      <c r="I20" s="118">
        <f>+'Scenario Input'!D33</f>
        <v>30000</v>
      </c>
      <c r="J20" s="118">
        <f t="shared" ref="J20" si="14">+H20*I20</f>
        <v>0</v>
      </c>
      <c r="K20" s="171"/>
      <c r="L20" s="171"/>
      <c r="M20" s="68"/>
      <c r="N20" s="17"/>
      <c r="AF20" s="3"/>
      <c r="AG20" s="3"/>
      <c r="AH20" s="3"/>
      <c r="AI20" s="3"/>
      <c r="AJ20" s="3"/>
      <c r="AK20" s="3"/>
    </row>
    <row r="21" spans="1:54" x14ac:dyDescent="0.3">
      <c r="A21" s="122" t="s">
        <v>69</v>
      </c>
      <c r="B21" s="61">
        <f>+SUMPRODUCT(ClaimsEE,UnitCost)</f>
        <v>0</v>
      </c>
      <c r="C21" s="61">
        <f>+SUMPRODUCT(ClaimsSP,UnitCost)</f>
        <v>0</v>
      </c>
      <c r="D21" s="61">
        <f>+SUMPRODUCT(ClaimsC1,UnitCost)</f>
        <v>0</v>
      </c>
      <c r="E21" s="61">
        <f>+SUMPRODUCT(ClaimsC2,UnitCost)</f>
        <v>0</v>
      </c>
      <c r="F21" s="61">
        <f>+SUMPRODUCT(ClaimsC3,UnitCost)</f>
        <v>0</v>
      </c>
      <c r="G21" s="61">
        <f>+SUMPRODUCT(ClaimsC4,UnitCost)</f>
        <v>0</v>
      </c>
      <c r="H21" s="61">
        <f t="shared" si="0"/>
        <v>0</v>
      </c>
      <c r="I21" s="124"/>
      <c r="J21" s="61">
        <f>SUM(J2:J20)</f>
        <v>0</v>
      </c>
      <c r="K21" s="66"/>
      <c r="L21" s="66"/>
    </row>
    <row r="22" spans="1:54" x14ac:dyDescent="0.3">
      <c r="A22" s="71"/>
      <c r="B22" s="66"/>
      <c r="C22" s="66"/>
      <c r="D22" s="66"/>
      <c r="E22" s="66"/>
      <c r="F22" s="66"/>
      <c r="G22" s="66"/>
      <c r="H22" s="66"/>
      <c r="J22" s="76"/>
      <c r="K22" s="76"/>
      <c r="L22" s="76"/>
    </row>
    <row r="23" spans="1:54" x14ac:dyDescent="0.3">
      <c r="A23" s="71"/>
      <c r="B23" s="66"/>
      <c r="C23" s="66"/>
      <c r="D23" s="66"/>
      <c r="E23" s="66"/>
      <c r="F23" s="66"/>
      <c r="G23" s="66"/>
      <c r="H23" s="66"/>
      <c r="J23" s="76"/>
      <c r="K23" s="76"/>
      <c r="L23" s="76"/>
      <c r="P23" s="74" t="s">
        <v>70</v>
      </c>
      <c r="Q23" s="74"/>
      <c r="R23" s="74"/>
      <c r="S23" s="74"/>
      <c r="T23" s="74"/>
      <c r="U23" s="74"/>
      <c r="V23" s="72"/>
      <c r="X23" s="74" t="s">
        <v>71</v>
      </c>
      <c r="Y23" s="74"/>
      <c r="Z23" s="74"/>
      <c r="AA23" s="74"/>
      <c r="AB23" s="74"/>
      <c r="AC23" s="74"/>
      <c r="AD23" s="72"/>
      <c r="AF23" s="74" t="s">
        <v>72</v>
      </c>
      <c r="AG23" s="74"/>
      <c r="AH23" s="74"/>
      <c r="AI23" s="74"/>
      <c r="AJ23" s="74"/>
      <c r="AK23" s="74"/>
      <c r="AL23" s="72"/>
      <c r="AN23" s="74" t="s">
        <v>73</v>
      </c>
      <c r="AO23" s="74"/>
      <c r="AP23" s="74"/>
      <c r="AQ23" s="74"/>
      <c r="AR23" s="74"/>
      <c r="AS23" s="74"/>
      <c r="AT23" s="72"/>
      <c r="AV23" s="74" t="s">
        <v>74</v>
      </c>
      <c r="AW23" s="74"/>
      <c r="AX23" s="74"/>
      <c r="AY23" s="74"/>
      <c r="AZ23" s="74"/>
      <c r="BA23" s="74"/>
      <c r="BB23" s="72"/>
    </row>
    <row r="24" spans="1:54" ht="78" x14ac:dyDescent="0.3">
      <c r="A24" s="67"/>
      <c r="B24" s="66"/>
      <c r="C24" s="66"/>
      <c r="D24" s="66"/>
      <c r="E24" s="66"/>
      <c r="F24" s="66"/>
      <c r="G24" s="66"/>
      <c r="H24" s="66"/>
      <c r="I24" s="73" t="s">
        <v>75</v>
      </c>
      <c r="J24" s="156" t="s">
        <v>67</v>
      </c>
      <c r="K24" s="156" t="s">
        <v>202</v>
      </c>
      <c r="L24" s="530" t="s">
        <v>201</v>
      </c>
      <c r="M24" s="107" t="s">
        <v>76</v>
      </c>
      <c r="N24" s="107" t="s">
        <v>77</v>
      </c>
      <c r="O24" s="107" t="s">
        <v>78</v>
      </c>
      <c r="P24" s="2" t="s">
        <v>5</v>
      </c>
      <c r="Q24" s="2" t="s">
        <v>64</v>
      </c>
      <c r="R24" s="2" t="s">
        <v>8</v>
      </c>
      <c r="S24" s="2" t="s">
        <v>9</v>
      </c>
      <c r="T24" s="2" t="s">
        <v>10</v>
      </c>
      <c r="U24" s="2" t="s">
        <v>11</v>
      </c>
      <c r="V24" s="2" t="s">
        <v>79</v>
      </c>
      <c r="W24" s="106"/>
      <c r="X24" s="2" t="s">
        <v>5</v>
      </c>
      <c r="Y24" s="2" t="s">
        <v>64</v>
      </c>
      <c r="Z24" s="2" t="s">
        <v>8</v>
      </c>
      <c r="AA24" s="2" t="s">
        <v>9</v>
      </c>
      <c r="AB24" s="2" t="s">
        <v>10</v>
      </c>
      <c r="AC24" s="2" t="s">
        <v>11</v>
      </c>
      <c r="AD24" s="2" t="s">
        <v>79</v>
      </c>
      <c r="AE24" s="106"/>
      <c r="AF24" s="2" t="s">
        <v>5</v>
      </c>
      <c r="AG24" s="2" t="s">
        <v>64</v>
      </c>
      <c r="AH24" s="2" t="s">
        <v>8</v>
      </c>
      <c r="AI24" s="2" t="s">
        <v>9</v>
      </c>
      <c r="AJ24" s="2" t="s">
        <v>10</v>
      </c>
      <c r="AK24" s="2" t="s">
        <v>11</v>
      </c>
      <c r="AL24" s="2" t="s">
        <v>79</v>
      </c>
      <c r="AN24" s="2" t="s">
        <v>5</v>
      </c>
      <c r="AO24" s="2" t="s">
        <v>64</v>
      </c>
      <c r="AP24" s="2" t="s">
        <v>8</v>
      </c>
      <c r="AQ24" s="2" t="s">
        <v>9</v>
      </c>
      <c r="AR24" s="2" t="s">
        <v>10</v>
      </c>
      <c r="AS24" s="2" t="s">
        <v>11</v>
      </c>
      <c r="AT24" s="2" t="s">
        <v>79</v>
      </c>
      <c r="AV24" s="2" t="s">
        <v>5</v>
      </c>
      <c r="AW24" s="2" t="s">
        <v>64</v>
      </c>
      <c r="AX24" s="2" t="s">
        <v>8</v>
      </c>
      <c r="AY24" s="2" t="s">
        <v>9</v>
      </c>
      <c r="AZ24" s="2" t="s">
        <v>10</v>
      </c>
      <c r="BA24" s="2" t="s">
        <v>11</v>
      </c>
      <c r="BB24" s="2" t="s">
        <v>79</v>
      </c>
    </row>
    <row r="25" spans="1:54" ht="16.5" customHeight="1" x14ac:dyDescent="0.3">
      <c r="A25" s="67" t="str">
        <f>+'Scenario Input'!C36</f>
        <v>Generic filled at Costco (up to 30 day supply for an acute/episodic illness)</v>
      </c>
      <c r="B25" s="61">
        <f>+'Scenario Input'!E36</f>
        <v>0</v>
      </c>
      <c r="C25" s="61">
        <f>+'Scenario Input'!G36</f>
        <v>0</v>
      </c>
      <c r="D25" s="61">
        <f>+'Scenario Input'!I36</f>
        <v>0</v>
      </c>
      <c r="E25" s="61">
        <f>+'Scenario Input'!K36</f>
        <v>0</v>
      </c>
      <c r="F25" s="61">
        <f>+'Scenario Input'!M36</f>
        <v>0</v>
      </c>
      <c r="G25" s="61">
        <f>+'Scenario Input'!O36</f>
        <v>0</v>
      </c>
      <c r="H25" s="61">
        <f t="shared" ref="H25:H32" si="15">SUM(B25:G25)</f>
        <v>0</v>
      </c>
      <c r="I25" s="125">
        <f>+'Scenario Input'!D36</f>
        <v>15</v>
      </c>
      <c r="J25" s="157">
        <f>+H25*I25*K25</f>
        <v>0</v>
      </c>
      <c r="K25" s="157">
        <v>1</v>
      </c>
      <c r="L25" s="157">
        <v>1</v>
      </c>
      <c r="M25" s="123">
        <v>0</v>
      </c>
      <c r="N25" s="123">
        <v>0</v>
      </c>
      <c r="O25" s="123">
        <v>0</v>
      </c>
      <c r="P25" s="76">
        <f>+B25*$M25*$L25</f>
        <v>0</v>
      </c>
      <c r="Q25" s="76">
        <f t="shared" ref="Q25:Q31" si="16">+C25*$M25*$L25</f>
        <v>0</v>
      </c>
      <c r="R25" s="76">
        <f t="shared" ref="R25:R31" si="17">+D25*$M25*$L25</f>
        <v>0</v>
      </c>
      <c r="S25" s="76">
        <f t="shared" ref="S25:S31" si="18">+E25*$M25*$L25</f>
        <v>0</v>
      </c>
      <c r="T25" s="76">
        <f t="shared" ref="T25:T31" si="19">+F25*$M25*$L25</f>
        <v>0</v>
      </c>
      <c r="U25" s="76">
        <f t="shared" ref="U25:U31" si="20">+G25*$M25*$L25</f>
        <v>0</v>
      </c>
      <c r="V25" s="75">
        <f t="shared" ref="V25:V32" si="21">SUM(P25:U25)</f>
        <v>0</v>
      </c>
      <c r="W25" s="76"/>
      <c r="X25" s="76">
        <f>+B25*$N25*$L25</f>
        <v>0</v>
      </c>
      <c r="Y25" s="76">
        <f t="shared" ref="Y25:Y31" si="22">+C25*$N25*$L25</f>
        <v>0</v>
      </c>
      <c r="Z25" s="76">
        <f t="shared" ref="Z25:Z31" si="23">+D25*$N25*$L25</f>
        <v>0</v>
      </c>
      <c r="AA25" s="76">
        <f t="shared" ref="AA25:AA31" si="24">+E25*$N25*$L25</f>
        <v>0</v>
      </c>
      <c r="AB25" s="76">
        <f t="shared" ref="AB25:AB31" si="25">+F25*$N25*$L25</f>
        <v>0</v>
      </c>
      <c r="AC25" s="76">
        <f t="shared" ref="AC25:AC31" si="26">+G25*$N25*$L25</f>
        <v>0</v>
      </c>
      <c r="AD25" s="75">
        <f t="shared" ref="AD25:AD32" si="27">SUM(X25:AC25)</f>
        <v>0</v>
      </c>
      <c r="AE25" s="76"/>
      <c r="AF25" s="76">
        <f>+B25*$O25*$L25</f>
        <v>0</v>
      </c>
      <c r="AG25" s="76">
        <f>+C25*$O25*$L25</f>
        <v>0</v>
      </c>
      <c r="AH25" s="76">
        <f>+D25*$O25*$L25</f>
        <v>0</v>
      </c>
      <c r="AI25" s="76">
        <f>+E25*$O25*$L25</f>
        <v>0</v>
      </c>
      <c r="AJ25" s="76">
        <f>+F25*$O25*$L25</f>
        <v>0</v>
      </c>
      <c r="AK25" s="76">
        <f>+G25*$O25*$L25</f>
        <v>0</v>
      </c>
      <c r="AL25" s="75">
        <f>SUM(AF25:AK25)</f>
        <v>0</v>
      </c>
      <c r="AN25" s="76">
        <f>J25</f>
        <v>0</v>
      </c>
      <c r="AO25" s="76">
        <f t="shared" ref="AO25:AO31" si="28">+C25*$I25*$L25</f>
        <v>0</v>
      </c>
      <c r="AP25" s="76">
        <f t="shared" ref="AP25:AP31" si="29">+D25*$I25*$L25</f>
        <v>0</v>
      </c>
      <c r="AQ25" s="76">
        <f t="shared" ref="AQ25:AQ31" si="30">+E25*$I25*$L25</f>
        <v>0</v>
      </c>
      <c r="AR25" s="76">
        <f t="shared" ref="AR25:AR31" si="31">+F25*$I25*$L25</f>
        <v>0</v>
      </c>
      <c r="AS25" s="76">
        <f t="shared" ref="AS25:AS31" si="32">+G25*$I25*$L25</f>
        <v>0</v>
      </c>
      <c r="AT25" s="75">
        <f>SUM(AN25:AS25)</f>
        <v>0</v>
      </c>
      <c r="AV25" s="133">
        <f>+AV26+AN25</f>
        <v>0</v>
      </c>
      <c r="AW25" s="133">
        <f>+AW26+AO25</f>
        <v>0</v>
      </c>
      <c r="AX25" s="133">
        <f>+AX26+AP25</f>
        <v>0</v>
      </c>
      <c r="AY25" s="133">
        <f>+AY26+AQ25</f>
        <v>0</v>
      </c>
      <c r="AZ25" s="133">
        <f>+AZ26+AR25</f>
        <v>0</v>
      </c>
      <c r="BA25" s="133">
        <f>+BA26+AS25</f>
        <v>0</v>
      </c>
      <c r="BB25" s="133"/>
    </row>
    <row r="26" spans="1:54" ht="31.2" x14ac:dyDescent="0.3">
      <c r="A26" s="67" t="str">
        <f>+'Scenario Input'!C38</f>
        <v>Generic filled at a retail pharmacy other than Walgreen's (up to 30 day supply for an acute/episodic illness)</v>
      </c>
      <c r="B26" s="61">
        <f>+'Scenario Input'!E38</f>
        <v>0</v>
      </c>
      <c r="C26" s="61">
        <f>+'Scenario Input'!G38</f>
        <v>0</v>
      </c>
      <c r="D26" s="61">
        <f>+'Scenario Input'!I38</f>
        <v>0</v>
      </c>
      <c r="E26" s="61">
        <f>+'Scenario Input'!K38</f>
        <v>0</v>
      </c>
      <c r="F26" s="61">
        <f>+'Scenario Input'!M38</f>
        <v>0</v>
      </c>
      <c r="G26" s="61">
        <f>+'Scenario Input'!O38</f>
        <v>0</v>
      </c>
      <c r="H26" s="61">
        <f t="shared" ref="H26" si="33">SUM(B26:G26)</f>
        <v>0</v>
      </c>
      <c r="I26" s="125">
        <f>+'Scenario Input'!D38</f>
        <v>20</v>
      </c>
      <c r="J26" s="157">
        <f>+H26*I26*K26</f>
        <v>0</v>
      </c>
      <c r="K26" s="157">
        <v>1</v>
      </c>
      <c r="L26" s="157">
        <v>1</v>
      </c>
      <c r="M26" s="123">
        <v>7</v>
      </c>
      <c r="N26" s="123">
        <v>10</v>
      </c>
      <c r="O26" s="123">
        <v>9</v>
      </c>
      <c r="P26" s="76">
        <f t="shared" ref="P26:P31" si="34">+B26*$M26*$L26</f>
        <v>0</v>
      </c>
      <c r="Q26" s="76">
        <f t="shared" si="16"/>
        <v>0</v>
      </c>
      <c r="R26" s="76">
        <f t="shared" si="17"/>
        <v>0</v>
      </c>
      <c r="S26" s="76">
        <f t="shared" si="18"/>
        <v>0</v>
      </c>
      <c r="T26" s="76">
        <f t="shared" si="19"/>
        <v>0</v>
      </c>
      <c r="U26" s="76">
        <f t="shared" si="20"/>
        <v>0</v>
      </c>
      <c r="V26" s="75">
        <f t="shared" si="21"/>
        <v>0</v>
      </c>
      <c r="W26" s="76"/>
      <c r="X26" s="76">
        <f t="shared" ref="X26:X31" si="35">+B26*$N26*$L26</f>
        <v>0</v>
      </c>
      <c r="Y26" s="76">
        <f t="shared" si="22"/>
        <v>0</v>
      </c>
      <c r="Z26" s="76">
        <f t="shared" si="23"/>
        <v>0</v>
      </c>
      <c r="AA26" s="76">
        <f t="shared" si="24"/>
        <v>0</v>
      </c>
      <c r="AB26" s="76">
        <f t="shared" si="25"/>
        <v>0</v>
      </c>
      <c r="AC26" s="76">
        <f t="shared" si="26"/>
        <v>0</v>
      </c>
      <c r="AD26" s="75">
        <f t="shared" si="27"/>
        <v>0</v>
      </c>
      <c r="AE26" s="76"/>
      <c r="AF26" s="76">
        <f t="shared" ref="AF26:AF31" si="36">+B26*$O26*$L26</f>
        <v>0</v>
      </c>
      <c r="AG26" s="76">
        <f>+C26*$O26*$L26</f>
        <v>0</v>
      </c>
      <c r="AH26" s="76">
        <f>+D26*$O26*$L26</f>
        <v>0</v>
      </c>
      <c r="AI26" s="76">
        <f>+E26*$O26*$L26</f>
        <v>0</v>
      </c>
      <c r="AJ26" s="76">
        <f>+F26*$O26*$L26</f>
        <v>0</v>
      </c>
      <c r="AK26" s="76">
        <f>+G26*$O26*$L26</f>
        <v>0</v>
      </c>
      <c r="AL26" s="75">
        <f t="shared" ref="AL26:AL31" si="37">SUM(AF26:AK26)</f>
        <v>0</v>
      </c>
      <c r="AN26" s="76">
        <f>J26</f>
        <v>0</v>
      </c>
      <c r="AO26" s="76">
        <f t="shared" si="28"/>
        <v>0</v>
      </c>
      <c r="AP26" s="76">
        <f t="shared" si="29"/>
        <v>0</v>
      </c>
      <c r="AQ26" s="76">
        <f t="shared" si="30"/>
        <v>0</v>
      </c>
      <c r="AR26" s="76">
        <f t="shared" si="31"/>
        <v>0</v>
      </c>
      <c r="AS26" s="76">
        <f t="shared" si="32"/>
        <v>0</v>
      </c>
      <c r="AT26" s="75">
        <f t="shared" ref="AT26:AT31" si="38">SUM(AN26:AS26)</f>
        <v>0</v>
      </c>
      <c r="AV26" s="133">
        <f>+AV27+AN26</f>
        <v>0</v>
      </c>
      <c r="AW26" s="133">
        <f>+AW27+AO26</f>
        <v>0</v>
      </c>
      <c r="AX26" s="133">
        <f>+AX27+AP26</f>
        <v>0</v>
      </c>
      <c r="AY26" s="133">
        <f>+AY27+AQ26</f>
        <v>0</v>
      </c>
      <c r="AZ26" s="133">
        <f>+AZ27+AR26</f>
        <v>0</v>
      </c>
      <c r="BA26" s="133">
        <f>+BA27+AS26</f>
        <v>0</v>
      </c>
      <c r="BB26" s="133"/>
    </row>
    <row r="27" spans="1:54" ht="31.2" x14ac:dyDescent="0.3">
      <c r="A27" s="67" t="str">
        <f>+'Scenario Input'!C40</f>
        <v>Brand filled at a retail pharmacy other than Walgreen's (up to 30-day supply for an acute/episodic illness)</v>
      </c>
      <c r="B27" s="61">
        <f>+'Scenario Input'!E40</f>
        <v>0</v>
      </c>
      <c r="C27" s="61">
        <f>+'Scenario Input'!G40</f>
        <v>0</v>
      </c>
      <c r="D27" s="61">
        <f>+'Scenario Input'!I40</f>
        <v>0</v>
      </c>
      <c r="E27" s="61">
        <f>+'Scenario Input'!K40</f>
        <v>0</v>
      </c>
      <c r="F27" s="61">
        <f>+'Scenario Input'!M40</f>
        <v>0</v>
      </c>
      <c r="G27" s="61">
        <f>+'Scenario Input'!O40</f>
        <v>0</v>
      </c>
      <c r="H27" s="61">
        <f t="shared" ref="H27" si="39">SUM(B27:G27)</f>
        <v>0</v>
      </c>
      <c r="I27" s="125">
        <f>+'Scenario Input'!D40</f>
        <v>250</v>
      </c>
      <c r="J27" s="157">
        <f>+H27*I27*K27</f>
        <v>0</v>
      </c>
      <c r="K27" s="157">
        <v>1</v>
      </c>
      <c r="L27" s="157">
        <v>1</v>
      </c>
      <c r="M27" s="123">
        <v>25</v>
      </c>
      <c r="N27" s="123">
        <v>35</v>
      </c>
      <c r="O27" s="123">
        <v>35</v>
      </c>
      <c r="P27" s="76">
        <f t="shared" si="34"/>
        <v>0</v>
      </c>
      <c r="Q27" s="76">
        <f t="shared" si="16"/>
        <v>0</v>
      </c>
      <c r="R27" s="76">
        <f t="shared" si="17"/>
        <v>0</v>
      </c>
      <c r="S27" s="76">
        <f t="shared" si="18"/>
        <v>0</v>
      </c>
      <c r="T27" s="76">
        <f t="shared" si="19"/>
        <v>0</v>
      </c>
      <c r="U27" s="76">
        <f t="shared" si="20"/>
        <v>0</v>
      </c>
      <c r="V27" s="75">
        <f t="shared" si="21"/>
        <v>0</v>
      </c>
      <c r="W27" s="76"/>
      <c r="X27" s="76">
        <f t="shared" si="35"/>
        <v>0</v>
      </c>
      <c r="Y27" s="76">
        <f t="shared" si="22"/>
        <v>0</v>
      </c>
      <c r="Z27" s="76">
        <f t="shared" si="23"/>
        <v>0</v>
      </c>
      <c r="AA27" s="76">
        <f t="shared" si="24"/>
        <v>0</v>
      </c>
      <c r="AB27" s="76">
        <f t="shared" si="25"/>
        <v>0</v>
      </c>
      <c r="AC27" s="76">
        <f t="shared" si="26"/>
        <v>0</v>
      </c>
      <c r="AD27" s="75">
        <f t="shared" si="27"/>
        <v>0</v>
      </c>
      <c r="AE27" s="76"/>
      <c r="AF27" s="76">
        <f t="shared" si="36"/>
        <v>0</v>
      </c>
      <c r="AG27" s="76">
        <f>+C27*$O27*$L27</f>
        <v>0</v>
      </c>
      <c r="AH27" s="76">
        <f>+D27*$O27*$L27</f>
        <v>0</v>
      </c>
      <c r="AI27" s="76">
        <f>+E27*$O27*$L27</f>
        <v>0</v>
      </c>
      <c r="AJ27" s="76">
        <f>+F27*$O27*$L27</f>
        <v>0</v>
      </c>
      <c r="AK27" s="76">
        <f>+G27*$O27*$L27</f>
        <v>0</v>
      </c>
      <c r="AL27" s="75">
        <f t="shared" si="37"/>
        <v>0</v>
      </c>
      <c r="AN27" s="76">
        <f>J27</f>
        <v>0</v>
      </c>
      <c r="AO27" s="76">
        <f t="shared" si="28"/>
        <v>0</v>
      </c>
      <c r="AP27" s="76">
        <f t="shared" si="29"/>
        <v>0</v>
      </c>
      <c r="AQ27" s="76">
        <f t="shared" si="30"/>
        <v>0</v>
      </c>
      <c r="AR27" s="76">
        <f t="shared" si="31"/>
        <v>0</v>
      </c>
      <c r="AS27" s="76">
        <f t="shared" si="32"/>
        <v>0</v>
      </c>
      <c r="AT27" s="75">
        <f t="shared" si="38"/>
        <v>0</v>
      </c>
      <c r="AV27" s="133">
        <f>+AV28+AN27</f>
        <v>0</v>
      </c>
      <c r="AW27" s="133">
        <f>+AW28+AO27</f>
        <v>0</v>
      </c>
      <c r="AX27" s="133">
        <f>+AX28+AP27</f>
        <v>0</v>
      </c>
      <c r="AY27" s="133">
        <f>+AY28+AQ27</f>
        <v>0</v>
      </c>
      <c r="AZ27" s="133">
        <f>+AZ28+AR27</f>
        <v>0</v>
      </c>
      <c r="BA27" s="133">
        <f>+BA28+AS27</f>
        <v>0</v>
      </c>
      <c r="BB27" s="133"/>
    </row>
    <row r="28" spans="1:54" x14ac:dyDescent="0.3">
      <c r="A28" s="67" t="str">
        <f>+'Scenario Input'!C42</f>
        <v>Generic maintenance filled at Costco (mail order or retail)</v>
      </c>
      <c r="B28" s="61">
        <f>+'Scenario Input'!E42</f>
        <v>0</v>
      </c>
      <c r="C28" s="61">
        <f>+'Scenario Input'!G42</f>
        <v>0</v>
      </c>
      <c r="D28" s="61">
        <f>+'Scenario Input'!I42</f>
        <v>0</v>
      </c>
      <c r="E28" s="61">
        <f>+'Scenario Input'!K42</f>
        <v>0</v>
      </c>
      <c r="F28" s="61">
        <f>+'Scenario Input'!M42</f>
        <v>0</v>
      </c>
      <c r="G28" s="61">
        <f>+'Scenario Input'!O42</f>
        <v>0</v>
      </c>
      <c r="H28" s="61">
        <f t="shared" ref="H28" si="40">SUM(B28:G28)</f>
        <v>0</v>
      </c>
      <c r="I28" s="125">
        <f>+'Scenario Input'!D42</f>
        <v>60</v>
      </c>
      <c r="J28" s="157">
        <f>+H28*I28*K28</f>
        <v>0</v>
      </c>
      <c r="K28" s="157">
        <v>12</v>
      </c>
      <c r="L28" s="157">
        <v>4</v>
      </c>
      <c r="M28" s="123">
        <v>0</v>
      </c>
      <c r="N28" s="123">
        <v>0</v>
      </c>
      <c r="O28" s="123">
        <v>0</v>
      </c>
      <c r="P28" s="76">
        <f t="shared" si="34"/>
        <v>0</v>
      </c>
      <c r="Q28" s="76">
        <f t="shared" si="16"/>
        <v>0</v>
      </c>
      <c r="R28" s="76">
        <f t="shared" si="17"/>
        <v>0</v>
      </c>
      <c r="S28" s="76">
        <f t="shared" si="18"/>
        <v>0</v>
      </c>
      <c r="T28" s="76">
        <f t="shared" si="19"/>
        <v>0</v>
      </c>
      <c r="U28" s="76">
        <f t="shared" si="20"/>
        <v>0</v>
      </c>
      <c r="V28" s="75">
        <f t="shared" si="21"/>
        <v>0</v>
      </c>
      <c r="W28" s="76"/>
      <c r="X28" s="76">
        <f t="shared" si="35"/>
        <v>0</v>
      </c>
      <c r="Y28" s="76">
        <f t="shared" si="22"/>
        <v>0</v>
      </c>
      <c r="Z28" s="76">
        <f t="shared" si="23"/>
        <v>0</v>
      </c>
      <c r="AA28" s="76">
        <f t="shared" si="24"/>
        <v>0</v>
      </c>
      <c r="AB28" s="76">
        <f t="shared" si="25"/>
        <v>0</v>
      </c>
      <c r="AC28" s="76">
        <f t="shared" si="26"/>
        <v>0</v>
      </c>
      <c r="AD28" s="75">
        <f t="shared" si="27"/>
        <v>0</v>
      </c>
      <c r="AE28" s="76"/>
      <c r="AF28" s="76">
        <f t="shared" si="36"/>
        <v>0</v>
      </c>
      <c r="AG28" s="76">
        <f>+C28*$O28*$L28</f>
        <v>0</v>
      </c>
      <c r="AH28" s="76">
        <f>+D28*$O28*$L28</f>
        <v>0</v>
      </c>
      <c r="AI28" s="76">
        <f>+E28*$O28*$L28</f>
        <v>0</v>
      </c>
      <c r="AJ28" s="76">
        <f>+F28*$O28*$L28</f>
        <v>0</v>
      </c>
      <c r="AK28" s="76">
        <f>+G28*$O28*$L28</f>
        <v>0</v>
      </c>
      <c r="AL28" s="75">
        <f t="shared" si="37"/>
        <v>0</v>
      </c>
      <c r="AN28" s="76">
        <f>J28</f>
        <v>0</v>
      </c>
      <c r="AO28" s="76">
        <f t="shared" si="28"/>
        <v>0</v>
      </c>
      <c r="AP28" s="76">
        <f t="shared" si="29"/>
        <v>0</v>
      </c>
      <c r="AQ28" s="76">
        <f t="shared" si="30"/>
        <v>0</v>
      </c>
      <c r="AR28" s="76">
        <f t="shared" si="31"/>
        <v>0</v>
      </c>
      <c r="AS28" s="76">
        <f t="shared" si="32"/>
        <v>0</v>
      </c>
      <c r="AT28" s="75">
        <f t="shared" si="38"/>
        <v>0</v>
      </c>
      <c r="AV28" s="133">
        <f>+AV29+AN28</f>
        <v>0</v>
      </c>
      <c r="AW28" s="133">
        <f>+AW29+AO28</f>
        <v>0</v>
      </c>
      <c r="AX28" s="133">
        <f>+AX29+AP28</f>
        <v>0</v>
      </c>
      <c r="AY28" s="133">
        <f>+AY29+AQ28</f>
        <v>0</v>
      </c>
      <c r="AZ28" s="133">
        <f>+AZ29+AR28</f>
        <v>0</v>
      </c>
      <c r="BA28" s="133">
        <f>+BA29+AS28</f>
        <v>0</v>
      </c>
      <c r="BB28" s="133"/>
    </row>
    <row r="29" spans="1:54" ht="31.2" x14ac:dyDescent="0.3">
      <c r="A29" s="67" t="str">
        <f>+'Scenario Input'!C44</f>
        <v>Generic maintenance filled at a retail pharmacy other than Walgreen's</v>
      </c>
      <c r="B29" s="61">
        <f>+'Scenario Input'!E44</f>
        <v>0</v>
      </c>
      <c r="C29" s="61">
        <f>+'Scenario Input'!G44</f>
        <v>0</v>
      </c>
      <c r="D29" s="61">
        <f>+'Scenario Input'!I44</f>
        <v>0</v>
      </c>
      <c r="E29" s="61">
        <f>+'Scenario Input'!K44</f>
        <v>0</v>
      </c>
      <c r="F29" s="61">
        <f>+'Scenario Input'!M44</f>
        <v>0</v>
      </c>
      <c r="G29" s="61">
        <f>+'Scenario Input'!O44</f>
        <v>0</v>
      </c>
      <c r="H29" s="61">
        <f t="shared" ref="H29" si="41">SUM(B29:G29)</f>
        <v>0</v>
      </c>
      <c r="I29" s="125">
        <f>+'Scenario Input'!D44</f>
        <v>90</v>
      </c>
      <c r="J29" s="157">
        <f>+H29*I29*K29</f>
        <v>0</v>
      </c>
      <c r="K29" s="157">
        <v>12</v>
      </c>
      <c r="L29" s="157">
        <v>12</v>
      </c>
      <c r="M29" s="123">
        <v>7</v>
      </c>
      <c r="N29" s="123">
        <v>10</v>
      </c>
      <c r="O29" s="123">
        <v>9</v>
      </c>
      <c r="P29" s="76">
        <f t="shared" si="34"/>
        <v>0</v>
      </c>
      <c r="Q29" s="76">
        <f t="shared" si="16"/>
        <v>0</v>
      </c>
      <c r="R29" s="76">
        <f t="shared" si="17"/>
        <v>0</v>
      </c>
      <c r="S29" s="76">
        <f t="shared" si="18"/>
        <v>0</v>
      </c>
      <c r="T29" s="76">
        <f t="shared" si="19"/>
        <v>0</v>
      </c>
      <c r="U29" s="76">
        <f t="shared" si="20"/>
        <v>0</v>
      </c>
      <c r="V29" s="75">
        <f t="shared" si="21"/>
        <v>0</v>
      </c>
      <c r="W29" s="76"/>
      <c r="X29" s="76">
        <f t="shared" si="35"/>
        <v>0</v>
      </c>
      <c r="Y29" s="76">
        <f t="shared" si="22"/>
        <v>0</v>
      </c>
      <c r="Z29" s="76">
        <f t="shared" si="23"/>
        <v>0</v>
      </c>
      <c r="AA29" s="76">
        <f t="shared" si="24"/>
        <v>0</v>
      </c>
      <c r="AB29" s="76">
        <f t="shared" si="25"/>
        <v>0</v>
      </c>
      <c r="AC29" s="76">
        <f t="shared" si="26"/>
        <v>0</v>
      </c>
      <c r="AD29" s="75">
        <f t="shared" si="27"/>
        <v>0</v>
      </c>
      <c r="AE29" s="76"/>
      <c r="AF29" s="76">
        <f t="shared" si="36"/>
        <v>0</v>
      </c>
      <c r="AG29" s="76">
        <f>+C29*$O29*$L29</f>
        <v>0</v>
      </c>
      <c r="AH29" s="76">
        <f>+D29*$O29*$L29</f>
        <v>0</v>
      </c>
      <c r="AI29" s="76">
        <f>+E29*$O29*$L29</f>
        <v>0</v>
      </c>
      <c r="AJ29" s="76">
        <f>+F29*$O29*$L29</f>
        <v>0</v>
      </c>
      <c r="AK29" s="76">
        <f>+G29*$O29*$L29</f>
        <v>0</v>
      </c>
      <c r="AL29" s="75">
        <f t="shared" si="37"/>
        <v>0</v>
      </c>
      <c r="AN29" s="76">
        <f>J29</f>
        <v>0</v>
      </c>
      <c r="AO29" s="76">
        <f t="shared" si="28"/>
        <v>0</v>
      </c>
      <c r="AP29" s="76">
        <f t="shared" si="29"/>
        <v>0</v>
      </c>
      <c r="AQ29" s="76">
        <f t="shared" si="30"/>
        <v>0</v>
      </c>
      <c r="AR29" s="76">
        <f t="shared" si="31"/>
        <v>0</v>
      </c>
      <c r="AS29" s="76">
        <f t="shared" si="32"/>
        <v>0</v>
      </c>
      <c r="AT29" s="75">
        <f t="shared" si="38"/>
        <v>0</v>
      </c>
      <c r="AV29" s="133">
        <f>+AV30+AN29</f>
        <v>0</v>
      </c>
      <c r="AW29" s="133">
        <f>+AW30+AO29</f>
        <v>0</v>
      </c>
      <c r="AX29" s="133">
        <f>+AX30+AP29</f>
        <v>0</v>
      </c>
      <c r="AY29" s="133">
        <f>+AY30+AQ29</f>
        <v>0</v>
      </c>
      <c r="AZ29" s="133">
        <f>+AZ30+AR29</f>
        <v>0</v>
      </c>
      <c r="BA29" s="133">
        <f>+BA30+AS29</f>
        <v>0</v>
      </c>
      <c r="BB29" s="133"/>
    </row>
    <row r="30" spans="1:54" x14ac:dyDescent="0.3">
      <c r="A30" s="67" t="str">
        <f>+'Scenario Input'!C46</f>
        <v>Brand maintenance filled via Costco (mail order or retail)</v>
      </c>
      <c r="B30" s="61">
        <f>+'Scenario Input'!E46</f>
        <v>0</v>
      </c>
      <c r="C30" s="61">
        <f>+'Scenario Input'!G46</f>
        <v>0</v>
      </c>
      <c r="D30" s="61">
        <f>+'Scenario Input'!I46</f>
        <v>0</v>
      </c>
      <c r="E30" s="61">
        <f>+'Scenario Input'!K46</f>
        <v>0</v>
      </c>
      <c r="F30" s="61">
        <f>+'Scenario Input'!M46</f>
        <v>0</v>
      </c>
      <c r="G30" s="61">
        <f>+'Scenario Input'!O46</f>
        <v>0</v>
      </c>
      <c r="H30" s="61">
        <f t="shared" ref="H30" si="42">SUM(B30:G30)</f>
        <v>0</v>
      </c>
      <c r="I30" s="125">
        <f>+'Scenario Input'!D46</f>
        <v>1000</v>
      </c>
      <c r="J30" s="157">
        <f>+H30*I30*K30</f>
        <v>0</v>
      </c>
      <c r="K30" s="157">
        <v>12</v>
      </c>
      <c r="L30" s="157">
        <v>4</v>
      </c>
      <c r="M30" s="123">
        <v>60</v>
      </c>
      <c r="N30" s="123">
        <v>90</v>
      </c>
      <c r="O30" s="123">
        <v>90</v>
      </c>
      <c r="P30" s="76">
        <f t="shared" si="34"/>
        <v>0</v>
      </c>
      <c r="Q30" s="76">
        <f t="shared" si="16"/>
        <v>0</v>
      </c>
      <c r="R30" s="76">
        <f t="shared" si="17"/>
        <v>0</v>
      </c>
      <c r="S30" s="76">
        <f t="shared" si="18"/>
        <v>0</v>
      </c>
      <c r="T30" s="76">
        <f t="shared" si="19"/>
        <v>0</v>
      </c>
      <c r="U30" s="76">
        <f t="shared" si="20"/>
        <v>0</v>
      </c>
      <c r="V30" s="75">
        <f t="shared" si="21"/>
        <v>0</v>
      </c>
      <c r="W30" s="76"/>
      <c r="X30" s="76">
        <f t="shared" si="35"/>
        <v>0</v>
      </c>
      <c r="Y30" s="76">
        <f t="shared" si="22"/>
        <v>0</v>
      </c>
      <c r="Z30" s="76">
        <f t="shared" si="23"/>
        <v>0</v>
      </c>
      <c r="AA30" s="76">
        <f t="shared" si="24"/>
        <v>0</v>
      </c>
      <c r="AB30" s="76">
        <f t="shared" si="25"/>
        <v>0</v>
      </c>
      <c r="AC30" s="76">
        <f t="shared" si="26"/>
        <v>0</v>
      </c>
      <c r="AD30" s="75">
        <f t="shared" si="27"/>
        <v>0</v>
      </c>
      <c r="AE30" s="76"/>
      <c r="AF30" s="76">
        <f t="shared" si="36"/>
        <v>0</v>
      </c>
      <c r="AG30" s="76">
        <f>+C30*$O30*$L30</f>
        <v>0</v>
      </c>
      <c r="AH30" s="76">
        <f>+D30*$O30*$L30</f>
        <v>0</v>
      </c>
      <c r="AI30" s="76">
        <f>+E30*$O30*$L30</f>
        <v>0</v>
      </c>
      <c r="AJ30" s="76">
        <f>+F30*$O30*$L30</f>
        <v>0</v>
      </c>
      <c r="AK30" s="76">
        <f>+G30*$O30*$L30</f>
        <v>0</v>
      </c>
      <c r="AL30" s="75">
        <f t="shared" si="37"/>
        <v>0</v>
      </c>
      <c r="AN30" s="76">
        <f>J30</f>
        <v>0</v>
      </c>
      <c r="AO30" s="76">
        <f t="shared" si="28"/>
        <v>0</v>
      </c>
      <c r="AP30" s="76">
        <f t="shared" si="29"/>
        <v>0</v>
      </c>
      <c r="AQ30" s="76">
        <f t="shared" si="30"/>
        <v>0</v>
      </c>
      <c r="AR30" s="76">
        <f t="shared" si="31"/>
        <v>0</v>
      </c>
      <c r="AS30" s="76">
        <f t="shared" si="32"/>
        <v>0</v>
      </c>
      <c r="AT30" s="75">
        <f t="shared" si="38"/>
        <v>0</v>
      </c>
      <c r="AV30" s="133">
        <f>+AV31+AN30</f>
        <v>0</v>
      </c>
      <c r="AW30" s="133">
        <f>+AW31+AO30</f>
        <v>0</v>
      </c>
      <c r="AX30" s="133">
        <f>+AX31+AP30</f>
        <v>0</v>
      </c>
      <c r="AY30" s="133">
        <f>+AY31+AQ30</f>
        <v>0</v>
      </c>
      <c r="AZ30" s="133">
        <f>+AZ31+AR30</f>
        <v>0</v>
      </c>
      <c r="BA30" s="133">
        <f>+BA31+AS30</f>
        <v>0</v>
      </c>
      <c r="BB30" s="133"/>
    </row>
    <row r="31" spans="1:54" ht="31.2" x14ac:dyDescent="0.3">
      <c r="A31" s="529" t="str">
        <f>+'Scenario Input'!C48</f>
        <v>Brand maintenance filled at a retail pharmacy other than Walgreen's</v>
      </c>
      <c r="B31" s="61">
        <f>+'Scenario Input'!E48</f>
        <v>0</v>
      </c>
      <c r="C31" s="61">
        <f>+'Scenario Input'!G48</f>
        <v>0</v>
      </c>
      <c r="D31" s="61">
        <f>+'Scenario Input'!I48</f>
        <v>0</v>
      </c>
      <c r="E31" s="61">
        <f>+'Scenario Input'!K48</f>
        <v>0</v>
      </c>
      <c r="F31" s="61">
        <f>+'Scenario Input'!M48</f>
        <v>0</v>
      </c>
      <c r="G31" s="61">
        <f>+'Scenario Input'!O48</f>
        <v>0</v>
      </c>
      <c r="H31" s="61">
        <f t="shared" ref="H31" si="43">SUM(B31:G31)</f>
        <v>0</v>
      </c>
      <c r="I31" s="125">
        <f>+'Scenario Input'!D48</f>
        <v>1500</v>
      </c>
      <c r="J31" s="157">
        <f>+H31*I31*K31</f>
        <v>0</v>
      </c>
      <c r="K31" s="157">
        <v>12</v>
      </c>
      <c r="L31" s="157">
        <v>12</v>
      </c>
      <c r="M31" s="123">
        <v>25</v>
      </c>
      <c r="N31" s="123">
        <v>35</v>
      </c>
      <c r="O31" s="123">
        <v>35</v>
      </c>
      <c r="P31" s="76">
        <f t="shared" si="34"/>
        <v>0</v>
      </c>
      <c r="Q31" s="76">
        <f t="shared" si="16"/>
        <v>0</v>
      </c>
      <c r="R31" s="76">
        <f t="shared" si="17"/>
        <v>0</v>
      </c>
      <c r="S31" s="76">
        <f t="shared" si="18"/>
        <v>0</v>
      </c>
      <c r="T31" s="76">
        <f t="shared" si="19"/>
        <v>0</v>
      </c>
      <c r="U31" s="76">
        <f t="shared" si="20"/>
        <v>0</v>
      </c>
      <c r="V31" s="75">
        <f t="shared" si="21"/>
        <v>0</v>
      </c>
      <c r="W31" s="76"/>
      <c r="X31" s="76">
        <f t="shared" si="35"/>
        <v>0</v>
      </c>
      <c r="Y31" s="76">
        <f t="shared" si="22"/>
        <v>0</v>
      </c>
      <c r="Z31" s="76">
        <f t="shared" si="23"/>
        <v>0</v>
      </c>
      <c r="AA31" s="76">
        <f t="shared" si="24"/>
        <v>0</v>
      </c>
      <c r="AB31" s="76">
        <f t="shared" si="25"/>
        <v>0</v>
      </c>
      <c r="AC31" s="76">
        <f t="shared" si="26"/>
        <v>0</v>
      </c>
      <c r="AD31" s="75">
        <f t="shared" si="27"/>
        <v>0</v>
      </c>
      <c r="AE31" s="76"/>
      <c r="AF31" s="76">
        <f t="shared" si="36"/>
        <v>0</v>
      </c>
      <c r="AG31" s="76">
        <f>+C31*$O31*$L31</f>
        <v>0</v>
      </c>
      <c r="AH31" s="76">
        <f>+D31*$O31*$L31</f>
        <v>0</v>
      </c>
      <c r="AI31" s="76">
        <f>+E31*$O31*$L31</f>
        <v>0</v>
      </c>
      <c r="AJ31" s="76">
        <f>+F31*$O31*$L31</f>
        <v>0</v>
      </c>
      <c r="AK31" s="76">
        <f>+G31*$O31*$L31</f>
        <v>0</v>
      </c>
      <c r="AL31" s="75">
        <f t="shared" si="37"/>
        <v>0</v>
      </c>
      <c r="AN31" s="76">
        <f t="shared" ref="AN31" si="44">+B31*$I31*$L31</f>
        <v>0</v>
      </c>
      <c r="AO31" s="76">
        <f t="shared" si="28"/>
        <v>0</v>
      </c>
      <c r="AP31" s="76">
        <f t="shared" si="29"/>
        <v>0</v>
      </c>
      <c r="AQ31" s="76">
        <f t="shared" si="30"/>
        <v>0</v>
      </c>
      <c r="AR31" s="76">
        <f t="shared" si="31"/>
        <v>0</v>
      </c>
      <c r="AS31" s="76">
        <f t="shared" si="32"/>
        <v>0</v>
      </c>
      <c r="AT31" s="75">
        <f t="shared" si="38"/>
        <v>0</v>
      </c>
      <c r="AV31" s="75">
        <f>+AN31</f>
        <v>0</v>
      </c>
      <c r="AW31" s="75">
        <f t="shared" ref="AW31:BA31" si="45">+AO31</f>
        <v>0</v>
      </c>
      <c r="AX31" s="75">
        <f t="shared" si="45"/>
        <v>0</v>
      </c>
      <c r="AY31" s="75">
        <f t="shared" si="45"/>
        <v>0</v>
      </c>
      <c r="AZ31" s="75">
        <f t="shared" si="45"/>
        <v>0</v>
      </c>
      <c r="BA31" s="75">
        <f t="shared" si="45"/>
        <v>0</v>
      </c>
      <c r="BB31" s="75"/>
    </row>
    <row r="32" spans="1:54" x14ac:dyDescent="0.3">
      <c r="A32" s="71" t="s">
        <v>80</v>
      </c>
      <c r="B32" s="61">
        <f>SUM(B25:B31)</f>
        <v>0</v>
      </c>
      <c r="C32" s="61">
        <f>SUM(C25:C31)</f>
        <v>0</v>
      </c>
      <c r="D32" s="61">
        <f>SUM(D25:D31)</f>
        <v>0</v>
      </c>
      <c r="E32" s="61">
        <f>SUM(E25:E31)</f>
        <v>0</v>
      </c>
      <c r="F32" s="61">
        <f>SUM(F25:F31)</f>
        <v>0</v>
      </c>
      <c r="G32" s="61">
        <f>SUM(G25:G31)</f>
        <v>0</v>
      </c>
      <c r="H32" s="61">
        <f t="shared" si="15"/>
        <v>0</v>
      </c>
      <c r="I32" s="126"/>
      <c r="J32" s="157">
        <f>SUM(J25:J31)</f>
        <v>0</v>
      </c>
      <c r="K32" s="172"/>
      <c r="L32" s="172"/>
      <c r="M32" s="127"/>
      <c r="N32" s="127"/>
      <c r="O32" s="128"/>
      <c r="P32" s="75">
        <f>SUM(P25:P31)</f>
        <v>0</v>
      </c>
      <c r="Q32" s="75">
        <f>SUM(Q25:Q31)</f>
        <v>0</v>
      </c>
      <c r="R32" s="75">
        <f>SUM(R25:R31)</f>
        <v>0</v>
      </c>
      <c r="S32" s="75">
        <f>SUM(S25:S31)</f>
        <v>0</v>
      </c>
      <c r="T32" s="75">
        <f>SUM(T25:T31)</f>
        <v>0</v>
      </c>
      <c r="U32" s="75">
        <f>SUM(U25:U31)</f>
        <v>0</v>
      </c>
      <c r="V32" s="75">
        <f t="shared" si="21"/>
        <v>0</v>
      </c>
      <c r="W32" s="76"/>
      <c r="X32" s="75">
        <f>SUM(X25:X31)</f>
        <v>0</v>
      </c>
      <c r="Y32" s="75">
        <f>SUM(Y25:Y31)</f>
        <v>0</v>
      </c>
      <c r="Z32" s="75">
        <f>SUM(Z25:Z31)</f>
        <v>0</v>
      </c>
      <c r="AA32" s="75">
        <f>SUM(AA25:AA31)</f>
        <v>0</v>
      </c>
      <c r="AB32" s="75">
        <f>SUM(AB25:AB31)</f>
        <v>0</v>
      </c>
      <c r="AC32" s="75">
        <f>SUM(AC25:AC31)</f>
        <v>0</v>
      </c>
      <c r="AD32" s="75">
        <f t="shared" si="27"/>
        <v>0</v>
      </c>
      <c r="AE32" s="76"/>
      <c r="AF32" s="75">
        <f>SUM(AF25:AF31)</f>
        <v>0</v>
      </c>
      <c r="AG32" s="75">
        <f>SUM(AG25:AG31)</f>
        <v>0</v>
      </c>
      <c r="AH32" s="75">
        <f>SUM(AH25:AH31)</f>
        <v>0</v>
      </c>
      <c r="AI32" s="75">
        <f>SUM(AI25:AI31)</f>
        <v>0</v>
      </c>
      <c r="AJ32" s="75">
        <f>SUM(AJ25:AJ31)</f>
        <v>0</v>
      </c>
      <c r="AK32" s="75">
        <f>SUM(AK25:AK31)</f>
        <v>0</v>
      </c>
      <c r="AL32" s="75">
        <f>SUM(AL25:AL31)</f>
        <v>0</v>
      </c>
      <c r="AN32" s="75">
        <f>SUM(AN25:AN31)</f>
        <v>0</v>
      </c>
      <c r="AO32" s="75">
        <f>SUM(AO25:AO31)</f>
        <v>0</v>
      </c>
      <c r="AP32" s="75">
        <f>SUM(AP25:AP31)</f>
        <v>0</v>
      </c>
      <c r="AQ32" s="75">
        <f>SUM(AQ25:AQ31)</f>
        <v>0</v>
      </c>
      <c r="AR32" s="75">
        <f>SUM(AR25:AR31)</f>
        <v>0</v>
      </c>
      <c r="AS32" s="75">
        <f>SUM(AS25:AS31)</f>
        <v>0</v>
      </c>
      <c r="AT32" s="75">
        <f>SUM(AT25:AT31)</f>
        <v>0</v>
      </c>
    </row>
    <row r="35" spans="1:14" ht="16.2" thickBot="1" x14ac:dyDescent="0.35"/>
    <row r="36" spans="1:14" ht="34.799999999999997" x14ac:dyDescent="0.45">
      <c r="A36" s="176" t="str">
        <f>CONCATENATE("Plan ",MasterMenu!E$1)</f>
        <v>Plan 1</v>
      </c>
      <c r="B36" s="511" t="str">
        <f>MasterMenu!E2</f>
        <v>80% G $30</v>
      </c>
      <c r="C36" s="512"/>
      <c r="D36" s="512"/>
      <c r="E36" s="512"/>
      <c r="F36" s="512"/>
      <c r="G36" s="512"/>
      <c r="H36" s="8" t="s">
        <v>81</v>
      </c>
      <c r="I36" s="9" t="s">
        <v>82</v>
      </c>
      <c r="J36" s="158" t="s">
        <v>83</v>
      </c>
    </row>
    <row r="37" spans="1:14" x14ac:dyDescent="0.3">
      <c r="A37" s="109" t="s">
        <v>84</v>
      </c>
      <c r="B37" s="13"/>
      <c r="C37" s="14"/>
      <c r="D37" s="14"/>
      <c r="E37" s="14"/>
      <c r="F37" s="14"/>
      <c r="G37" s="14"/>
      <c r="H37" s="14"/>
      <c r="I37" s="15"/>
      <c r="N37" s="63"/>
    </row>
    <row r="38" spans="1:14" x14ac:dyDescent="0.3">
      <c r="A38" s="4" t="s">
        <v>85</v>
      </c>
      <c r="B38" s="10">
        <f>+MIN(SUMPRODUCT(B$12:B$18,$I$12:$I$18)-EREE*MasterMenu!$E$30,MasterMenu!$E$21)</f>
        <v>0</v>
      </c>
      <c r="C38" s="11">
        <f>+MIN(SUMPRODUCT(C$12:C$18,$I$12:$I$18)-ERSP*MasterMenu!$E$30,MasterMenu!$E$21)</f>
        <v>0</v>
      </c>
      <c r="D38" s="11">
        <f>+MIN(SUMPRODUCT(D$12:D$18,$I$12:$I$18)-_ERC1*MasterMenu!$E$30,MasterMenu!$E$21)</f>
        <v>0</v>
      </c>
      <c r="E38" s="11">
        <f>+MIN(SUMPRODUCT(E$12:E$18,$I$12:$I$18)-_ERC2*MasterMenu!$E$30,MasterMenu!$E$21)</f>
        <v>0</v>
      </c>
      <c r="F38" s="11">
        <f>+MIN(SUMPRODUCT(F$12:F$18,$I$12:$I$18)-_ERC3*MasterMenu!$E$30,MasterMenu!$E$21)</f>
        <v>0</v>
      </c>
      <c r="G38" s="11">
        <f>+MIN(SUMPRODUCT(G$12:G$18,$I$12:$I$18)-_ERC4*MasterMenu!$E$30,MasterMenu!$E$21)</f>
        <v>0</v>
      </c>
      <c r="H38" s="11">
        <f>SUM(B38:G38)</f>
        <v>0</v>
      </c>
      <c r="I38" s="187">
        <f>MIN(MasterMenu!E$22,H38)</f>
        <v>0</v>
      </c>
      <c r="N38" s="63"/>
    </row>
    <row r="39" spans="1:14" x14ac:dyDescent="0.3">
      <c r="A39" s="4" t="s">
        <v>86</v>
      </c>
      <c r="B39" s="10">
        <f>+HWCEE*MasterMenu!$E$26+EREE*MasterMenu!$E$30+TMEE*MasterMenu!$E$32+(_OVEE+MAX(B$8-3,0))*MasterMenu!$E$27</f>
        <v>0</v>
      </c>
      <c r="C39" s="11">
        <f>+HWCSP*MasterMenu!$E$26+ERSP*MasterMenu!$E$30+TMSP*MasterMenu!$E$32+(_OVSP+MAX(C$8-3,0))*MasterMenu!$E$27</f>
        <v>0</v>
      </c>
      <c r="D39" s="11">
        <f>+HWCC1*MasterMenu!$E$26+_ERC1*MasterMenu!$E$30+_TMC1*MasterMenu!$E$32+(_OVCH1+MAX(D$8-3,0))*MasterMenu!$E$27</f>
        <v>0</v>
      </c>
      <c r="E39" s="11">
        <f>+HWCC2*MasterMenu!$E$26+_ERC2*MasterMenu!$E$30+_TMC2*MasterMenu!$E$32+(_OVCH2+MAX(E$8-3,0))*MasterMenu!$E$27</f>
        <v>0</v>
      </c>
      <c r="F39" s="11">
        <f>+HWCC3*MasterMenu!$E$26+_ERC3*MasterMenu!$E$30+_TMC3*MasterMenu!$E$32+(_OVCH3+MAX(F$8-3,0))*MasterMenu!$E$27</f>
        <v>0</v>
      </c>
      <c r="G39" s="11">
        <f>+HWCC4*MasterMenu!$E$26+_ERC4*MasterMenu!$E$30+_TMC4*MasterMenu!$E$32+(_OVCH4+MAX(G$8-3,0))*MasterMenu!$E$27</f>
        <v>0</v>
      </c>
      <c r="H39" s="11">
        <f>SUM(B39:G39)</f>
        <v>0</v>
      </c>
      <c r="I39" s="513">
        <f>+MIN(H41,MasterMenu!E$24)</f>
        <v>0</v>
      </c>
      <c r="N39" s="63"/>
    </row>
    <row r="40" spans="1:14" x14ac:dyDescent="0.3">
      <c r="A40" s="4" t="s">
        <v>87</v>
      </c>
      <c r="B40" s="10">
        <f>+(SUMPRODUCT(B$12:B$18,$I$12:$I$18)-B38-EREE*MasterMenu!$E$30)*MasterMenu!$E$28</f>
        <v>0</v>
      </c>
      <c r="C40" s="11">
        <f>+(SUMPRODUCT(C$12:C$18,$I$12:$I$18)-C38-ERSP*MasterMenu!$E$30)*MasterMenu!$E$28</f>
        <v>0</v>
      </c>
      <c r="D40" s="11">
        <f>+(SUMPRODUCT(D$12:D$18,$I$12:$I$18)-D38-_ERC1*MasterMenu!$E$30)*MasterMenu!$E$28</f>
        <v>0</v>
      </c>
      <c r="E40" s="11">
        <f>+(SUMPRODUCT(E$12:E$18,$I$12:$I$18)-E38-_ERC2*MasterMenu!$E$30)*MasterMenu!$E$28</f>
        <v>0</v>
      </c>
      <c r="F40" s="11">
        <f>+(SUMPRODUCT(F$12:F$18,$I$12:$I$18)-F38-_ERC3*MasterMenu!$E$30)*MasterMenu!$E$28</f>
        <v>0</v>
      </c>
      <c r="G40" s="11">
        <f>+(SUMPRODUCT(G$12:G$18,$I$12:$I$18)-G38-_ERC4*MasterMenu!$E$30)*MasterMenu!$E$28</f>
        <v>0</v>
      </c>
      <c r="H40" s="11">
        <f>SUM(B40:G40)</f>
        <v>0</v>
      </c>
      <c r="I40" s="513"/>
      <c r="N40" s="63"/>
    </row>
    <row r="41" spans="1:14" x14ac:dyDescent="0.3">
      <c r="A41" s="204" t="s">
        <v>88</v>
      </c>
      <c r="B41" s="10">
        <f>+MIN((+B40+B39),MasterMenu!$E$23)</f>
        <v>0</v>
      </c>
      <c r="C41" s="11">
        <f>+MIN((+C40+C39),MasterMenu!$E$23)</f>
        <v>0</v>
      </c>
      <c r="D41" s="11">
        <f>+MIN((+D40+D39),MasterMenu!$E$23)</f>
        <v>0</v>
      </c>
      <c r="E41" s="11">
        <f>+MIN((+E40+E39),MasterMenu!$E$23)</f>
        <v>0</v>
      </c>
      <c r="F41" s="11">
        <f>+MIN((+F40+F39),MasterMenu!$E$23)</f>
        <v>0</v>
      </c>
      <c r="G41" s="11">
        <f>+MIN((+G40+G39),MasterMenu!$E$23)</f>
        <v>0</v>
      </c>
      <c r="H41" s="11">
        <f>SUM(B41:G41)</f>
        <v>0</v>
      </c>
      <c r="I41" s="513"/>
    </row>
    <row r="42" spans="1:14" ht="16.2" thickBot="1" x14ac:dyDescent="0.35">
      <c r="A42" s="204" t="s">
        <v>89</v>
      </c>
      <c r="B42" s="10">
        <f>+MIN((B41+B38),MasterMenu!$E$19)</f>
        <v>0</v>
      </c>
      <c r="C42" s="11">
        <f>+MIN((C41+C38),MasterMenu!$E$19)</f>
        <v>0</v>
      </c>
      <c r="D42" s="11">
        <f>+MIN((D41+D38),MasterMenu!$E$19)</f>
        <v>0</v>
      </c>
      <c r="E42" s="11">
        <f>+MIN((E41+E38),MasterMenu!$E$19)</f>
        <v>0</v>
      </c>
      <c r="F42" s="11">
        <f>+MIN((F41+F38),MasterMenu!$E$19)</f>
        <v>0</v>
      </c>
      <c r="G42" s="11">
        <f>+MIN((G41+G38),MasterMenu!$E$19)</f>
        <v>0</v>
      </c>
      <c r="H42" s="11">
        <f>SUM(B42:G42)</f>
        <v>0</v>
      </c>
      <c r="I42" s="187">
        <f>+MIN((I38+I39),MasterMenu!E$20,Totalmedcosts)</f>
        <v>0</v>
      </c>
      <c r="J42" s="158">
        <f>MasterMenu!E$20</f>
        <v>4000</v>
      </c>
      <c r="M42" t="str">
        <f>+IF(I42&gt;J42,"Error","ok")</f>
        <v>ok</v>
      </c>
    </row>
    <row r="43" spans="1:14" x14ac:dyDescent="0.3">
      <c r="A43" s="109" t="s">
        <v>90</v>
      </c>
      <c r="B43" s="508"/>
      <c r="C43" s="509"/>
      <c r="D43" s="509"/>
      <c r="E43" s="509"/>
      <c r="F43" s="509"/>
      <c r="G43" s="509"/>
      <c r="H43" s="509"/>
      <c r="I43" s="510"/>
    </row>
    <row r="44" spans="1:14" x14ac:dyDescent="0.3">
      <c r="A44" s="4" t="s">
        <v>85</v>
      </c>
      <c r="B44" s="10">
        <f>+MIN(MasterMenu!$E$36,(AN$27+AN$30+AN$31))</f>
        <v>0</v>
      </c>
      <c r="C44" s="11">
        <f>+MIN(MasterMenu!$E$36,(AO$27+AO$30+AO$31))</f>
        <v>0</v>
      </c>
      <c r="D44" s="11">
        <f>+MIN(MasterMenu!$E$36,(AP$27+AP$30+AP$31))</f>
        <v>0</v>
      </c>
      <c r="E44" s="11">
        <f>+MIN(MasterMenu!$E$36,(AQ$27+AQ$30+AQ$31))</f>
        <v>0</v>
      </c>
      <c r="F44" s="11">
        <f>+MIN(MasterMenu!$E$36,(AR$27+AR$30+AR$31))</f>
        <v>0</v>
      </c>
      <c r="G44" s="11">
        <f>+MIN(MasterMenu!$E$36,(AS$27+AS$30+AS$31))</f>
        <v>0</v>
      </c>
      <c r="H44" s="11">
        <f>SUM(B44:G44)</f>
        <v>0</v>
      </c>
      <c r="I44" s="191">
        <f>+MIN(MasterMenu!$E$37,TotalRXCost,H44)</f>
        <v>0</v>
      </c>
    </row>
    <row r="45" spans="1:14" x14ac:dyDescent="0.3">
      <c r="A45" s="4" t="s">
        <v>86</v>
      </c>
      <c r="B45" s="10">
        <f>X$32</f>
        <v>0</v>
      </c>
      <c r="C45" s="11">
        <f>Y$32</f>
        <v>0</v>
      </c>
      <c r="D45" s="11">
        <f t="shared" ref="D45" si="46">Z$32</f>
        <v>0</v>
      </c>
      <c r="E45" s="11">
        <f t="shared" ref="E45" si="47">AA$32</f>
        <v>0</v>
      </c>
      <c r="F45" s="11">
        <f t="shared" ref="F45" si="48">AB$32</f>
        <v>0</v>
      </c>
      <c r="G45" s="11">
        <f t="shared" ref="G45" si="49">AC$32</f>
        <v>0</v>
      </c>
      <c r="H45" s="11">
        <f>SUM(B45:G45)</f>
        <v>0</v>
      </c>
      <c r="I45" s="514">
        <f>+MIN(MasterMenu!E35-I44,TotalRXCost,H45)</f>
        <v>0</v>
      </c>
    </row>
    <row r="46" spans="1:14" ht="16.2" thickBot="1" x14ac:dyDescent="0.35">
      <c r="A46" s="204" t="s">
        <v>89</v>
      </c>
      <c r="B46" s="10">
        <f>+MIN(MasterMenu!$E$34,B44+B45)</f>
        <v>0</v>
      </c>
      <c r="C46" s="11">
        <f>+MIN(MasterMenu!$E$34,C44+C45)</f>
        <v>0</v>
      </c>
      <c r="D46" s="11">
        <f>+MIN(MasterMenu!$E$34,D44+D45)</f>
        <v>0</v>
      </c>
      <c r="E46" s="11">
        <f>+MIN(MasterMenu!$E$34,E44+E45)</f>
        <v>0</v>
      </c>
      <c r="F46" s="11">
        <f>+MIN(MasterMenu!$E$34,F44+F45)</f>
        <v>0</v>
      </c>
      <c r="G46" s="11">
        <f>+MIN(MasterMenu!$E$34,G44+G45)</f>
        <v>0</v>
      </c>
      <c r="H46" s="11">
        <f>SUM(B46:G46)</f>
        <v>0</v>
      </c>
      <c r="I46" s="515"/>
      <c r="J46" s="158">
        <f>+MasterMenu!E$35</f>
        <v>3500</v>
      </c>
      <c r="M46" t="str">
        <f>+IF(I46&gt;J46,"Error","ok")</f>
        <v>ok</v>
      </c>
    </row>
    <row r="47" spans="1:14" x14ac:dyDescent="0.3">
      <c r="A47" s="109"/>
      <c r="B47" s="114"/>
      <c r="C47" s="108"/>
      <c r="D47" s="108"/>
      <c r="E47" s="108"/>
      <c r="F47" s="108"/>
      <c r="G47" s="111"/>
      <c r="H47" s="112" t="s">
        <v>91</v>
      </c>
      <c r="I47" s="188">
        <f>+Totalmedcosts+TotalRXCost</f>
        <v>0</v>
      </c>
    </row>
    <row r="48" spans="1:14" x14ac:dyDescent="0.3">
      <c r="A48" s="109"/>
      <c r="B48" s="114"/>
      <c r="C48" s="108"/>
      <c r="D48" s="108"/>
      <c r="E48" s="108"/>
      <c r="F48" s="108"/>
      <c r="G48" s="114"/>
      <c r="H48" s="110" t="s">
        <v>92</v>
      </c>
      <c r="I48" s="187">
        <f>+I44+I42+I45</f>
        <v>0</v>
      </c>
      <c r="J48" s="158" t="str">
        <f>+IF(I48&gt;J42+J46,"ERROR","ok")</f>
        <v>ok</v>
      </c>
    </row>
    <row r="49" spans="1:14" ht="16.2" thickBot="1" x14ac:dyDescent="0.35">
      <c r="A49" s="109"/>
      <c r="B49" s="115"/>
      <c r="C49" s="117"/>
      <c r="D49" s="117"/>
      <c r="E49" s="117"/>
      <c r="F49" s="117"/>
      <c r="G49" s="115"/>
      <c r="H49" s="116" t="s">
        <v>93</v>
      </c>
      <c r="I49" s="189">
        <f>+I47-I48</f>
        <v>0</v>
      </c>
    </row>
    <row r="50" spans="1:14" x14ac:dyDescent="0.3">
      <c r="A50" s="109"/>
      <c r="B50" s="66"/>
      <c r="C50" s="66"/>
      <c r="D50" s="66"/>
      <c r="E50" s="66"/>
      <c r="F50" s="66"/>
      <c r="G50" s="66"/>
      <c r="H50" s="185"/>
      <c r="I50" s="66"/>
      <c r="J50" s="76"/>
      <c r="K50" s="76"/>
      <c r="L50" s="76"/>
    </row>
    <row r="51" spans="1:14" ht="16.2" thickBot="1" x14ac:dyDescent="0.35">
      <c r="B51" s="5"/>
      <c r="C51" s="5"/>
      <c r="D51" s="5"/>
      <c r="E51" s="5"/>
      <c r="F51" s="5"/>
      <c r="G51" s="5"/>
      <c r="J51" s="5"/>
      <c r="K51" s="5"/>
      <c r="L51" s="5"/>
      <c r="M51" s="5"/>
    </row>
    <row r="52" spans="1:14" ht="34.799999999999997" x14ac:dyDescent="0.45">
      <c r="A52" s="176" t="str">
        <f>CONCATENATE("Plan ",MasterMenu!F$1)</f>
        <v>Plan 2</v>
      </c>
      <c r="B52" s="511" t="str">
        <f>+MasterMenu!F2</f>
        <v>80% J $30</v>
      </c>
      <c r="C52" s="512"/>
      <c r="D52" s="512"/>
      <c r="E52" s="512"/>
      <c r="F52" s="512"/>
      <c r="G52" s="512"/>
      <c r="H52" s="8" t="s">
        <v>81</v>
      </c>
      <c r="I52" s="9" t="s">
        <v>82</v>
      </c>
      <c r="J52" s="158" t="s">
        <v>94</v>
      </c>
    </row>
    <row r="53" spans="1:14" x14ac:dyDescent="0.3">
      <c r="A53" s="109" t="s">
        <v>84</v>
      </c>
      <c r="B53" s="13"/>
      <c r="C53" s="14"/>
      <c r="D53" s="14"/>
      <c r="E53" s="14"/>
      <c r="F53" s="14"/>
      <c r="G53" s="14"/>
      <c r="H53" s="14"/>
      <c r="I53" s="15"/>
      <c r="N53" s="63"/>
    </row>
    <row r="54" spans="1:14" x14ac:dyDescent="0.3">
      <c r="A54" s="4" t="s">
        <v>85</v>
      </c>
      <c r="B54" s="10">
        <f>+MIN(SUMPRODUCT(B$12:B$18,$I$12:$I$18)-EREE*MasterMenu!$F$30,MasterMenu!$F$21)</f>
        <v>0</v>
      </c>
      <c r="C54" s="11">
        <f>+MIN(SUMPRODUCT(C$12:C$18,$I$12:$I$18)-ERSP*MasterMenu!$F$30,MasterMenu!$F$21)</f>
        <v>0</v>
      </c>
      <c r="D54" s="11">
        <f>+MIN(SUMPRODUCT(D$12:D$18,$I$12:$I$18)-_ERC1*MasterMenu!$F$30,MasterMenu!$F$21)</f>
        <v>0</v>
      </c>
      <c r="E54" s="11">
        <f>+MIN(SUMPRODUCT(E$12:E$18,$I$12:$I$18)-_ERC2*MasterMenu!$F$30,MasterMenu!$F$21)</f>
        <v>0</v>
      </c>
      <c r="F54" s="11">
        <f>+MIN(SUMPRODUCT(F$12:F$18,$I$12:$I$18)-_ERC3*MasterMenu!$F$30,MasterMenu!$F$21)</f>
        <v>0</v>
      </c>
      <c r="G54" s="11">
        <f>+MIN(SUMPRODUCT(G$12:G$18,$I$12:$I$18)-_ERC4*MasterMenu!$F$30,MasterMenu!$F$21)</f>
        <v>0</v>
      </c>
      <c r="H54" s="11">
        <f>SUM(B54:G54)</f>
        <v>0</v>
      </c>
      <c r="I54" s="187">
        <f>MIN(MasterMenu!F$22,H54)</f>
        <v>0</v>
      </c>
      <c r="N54" s="63"/>
    </row>
    <row r="55" spans="1:14" x14ac:dyDescent="0.3">
      <c r="A55" s="4" t="s">
        <v>86</v>
      </c>
      <c r="B55" s="10">
        <f>+HWCEE*MasterMenu!$F$26+EREE*MasterMenu!$F$30+TMEE*MasterMenu!$F$32+(_OVEE+MAX(B8-3,0))*MasterMenu!$F$27</f>
        <v>0</v>
      </c>
      <c r="C55" s="11">
        <f>+HWCSP*MasterMenu!$F$26+ERSP*MasterMenu!$F$30+TMSP*MasterMenu!$F$32+(_OVSP+MAX(C8-3,0))*MasterMenu!$F$27</f>
        <v>0</v>
      </c>
      <c r="D55" s="11">
        <f>+HWCC1*MasterMenu!$F$26+_ERC1*MasterMenu!$F$30+_TMC1*MasterMenu!$F$32+(_OVCH1+MAX(D8-3,0))*MasterMenu!$F$27</f>
        <v>0</v>
      </c>
      <c r="E55" s="11">
        <f>+HWCC2*MasterMenu!$F$26+_ERC2*MasterMenu!$F$30+_TMC2*MasterMenu!$F$32+(_OVCH2+MAX(E8-3,0))*MasterMenu!$F$27</f>
        <v>0</v>
      </c>
      <c r="F55" s="11">
        <f>+HWCC3*MasterMenu!$F$26+_ERC3*MasterMenu!$F$30+_TMC3*MasterMenu!$F$32+(_OVCH3+MAX(F8-3,0))*MasterMenu!$F$27</f>
        <v>0</v>
      </c>
      <c r="G55" s="11">
        <f>+HWCC4*MasterMenu!$F$26+_ERC4*MasterMenu!$F$30+_TMC4*MasterMenu!$F$32+(_OVCH4+MAX(G8-3,0))*MasterMenu!$F$27</f>
        <v>0</v>
      </c>
      <c r="H55" s="11">
        <f>SUM(B55:G55)</f>
        <v>0</v>
      </c>
      <c r="I55" s="513">
        <f>+MIN(H57,MasterMenu!F$24)</f>
        <v>0</v>
      </c>
      <c r="N55" s="63"/>
    </row>
    <row r="56" spans="1:14" x14ac:dyDescent="0.3">
      <c r="A56" s="4" t="s">
        <v>87</v>
      </c>
      <c r="B56" s="10">
        <f>+(SUMPRODUCT(B$12:B$18,$I$12:$I$18)-B54-EREE*MasterMenu!$F$30)*MasterMenu!$F$28</f>
        <v>0</v>
      </c>
      <c r="C56" s="11">
        <f>+(SUMPRODUCT(C$12:C$18,$I$12:$I$18)-C54-ERSP*MasterMenu!$F$30)*MasterMenu!$F$28</f>
        <v>0</v>
      </c>
      <c r="D56" s="11">
        <f>+(SUMPRODUCT(D$12:D$18,$I$12:$I$18)-D54-_ERC1*MasterMenu!$F$30)*MasterMenu!$F$28</f>
        <v>0</v>
      </c>
      <c r="E56" s="11">
        <f>+(SUMPRODUCT(E$12:E$18,$I$12:$I$18)-E54-_ERC2*MasterMenu!$F$30)*MasterMenu!$F$28</f>
        <v>0</v>
      </c>
      <c r="F56" s="11">
        <f>+(SUMPRODUCT(F$12:F$18,$I$12:$I$18)-F54-_ERC3*MasterMenu!$F$30)*MasterMenu!$F$28</f>
        <v>0</v>
      </c>
      <c r="G56" s="11">
        <f>+(SUMPRODUCT(G$12:G$18,$I$12:$I$18)-G54-_ERC4*MasterMenu!$F$30)*MasterMenu!$F$28</f>
        <v>0</v>
      </c>
      <c r="H56" s="11">
        <f>SUM(B56:G56)</f>
        <v>0</v>
      </c>
      <c r="I56" s="513"/>
      <c r="N56" s="63"/>
    </row>
    <row r="57" spans="1:14" x14ac:dyDescent="0.3">
      <c r="A57" s="204" t="s">
        <v>88</v>
      </c>
      <c r="B57" s="10">
        <f>+MIN((+B56+B55),MasterMenu!$F$23)</f>
        <v>0</v>
      </c>
      <c r="C57" s="11">
        <f>+MIN((+C56+C55),MasterMenu!$F$23)</f>
        <v>0</v>
      </c>
      <c r="D57" s="11">
        <f>+MIN((+D56+D55),MasterMenu!$F$23)</f>
        <v>0</v>
      </c>
      <c r="E57" s="11">
        <f>+MIN((+E56+E55),MasterMenu!$F$23)</f>
        <v>0</v>
      </c>
      <c r="F57" s="11">
        <f>+MIN((+F56+F55),MasterMenu!$F$23)</f>
        <v>0</v>
      </c>
      <c r="G57" s="11">
        <f>+MIN((+G56+G55),MasterMenu!$F$23)</f>
        <v>0</v>
      </c>
      <c r="H57" s="11">
        <f>SUM(B57:G57)</f>
        <v>0</v>
      </c>
      <c r="I57" s="513"/>
    </row>
    <row r="58" spans="1:14" ht="16.2" thickBot="1" x14ac:dyDescent="0.35">
      <c r="A58" s="204" t="s">
        <v>89</v>
      </c>
      <c r="B58" s="10">
        <f>+MIN((B57+B54),MasterMenu!$F$19)</f>
        <v>0</v>
      </c>
      <c r="C58" s="11">
        <f>+MIN((C57+C54),MasterMenu!$F$19)</f>
        <v>0</v>
      </c>
      <c r="D58" s="11">
        <f>+MIN((D57+D54),MasterMenu!$F$19)</f>
        <v>0</v>
      </c>
      <c r="E58" s="11">
        <f>+MIN((E57+E54),MasterMenu!$F$19)</f>
        <v>0</v>
      </c>
      <c r="F58" s="11">
        <f>+MIN((F57+F54),MasterMenu!$F$19)</f>
        <v>0</v>
      </c>
      <c r="G58" s="11">
        <f>+MIN((G57+G54),MasterMenu!$F$19)</f>
        <v>0</v>
      </c>
      <c r="H58" s="11">
        <f>SUM(B58:G58)</f>
        <v>0</v>
      </c>
      <c r="I58" s="187">
        <f>+MIN((I54+I55),MasterMenu!F$20,Totalmedcosts)</f>
        <v>0</v>
      </c>
      <c r="J58" s="158">
        <f>MasterMenu!F$20</f>
        <v>6000</v>
      </c>
      <c r="M58" t="str">
        <f>+IF(I58&gt;J58,"Error","ok")</f>
        <v>ok</v>
      </c>
    </row>
    <row r="59" spans="1:14" x14ac:dyDescent="0.3">
      <c r="A59" s="109" t="s">
        <v>90</v>
      </c>
      <c r="B59" s="508"/>
      <c r="C59" s="509"/>
      <c r="D59" s="509"/>
      <c r="E59" s="509"/>
      <c r="F59" s="509"/>
      <c r="G59" s="509"/>
      <c r="H59" s="509"/>
      <c r="I59" s="510"/>
    </row>
    <row r="60" spans="1:14" x14ac:dyDescent="0.3">
      <c r="A60" s="4" t="s">
        <v>85</v>
      </c>
      <c r="B60" s="10">
        <f>+MIN(MasterMenu!$E$36,(AN$27+AN$30+AN$31))</f>
        <v>0</v>
      </c>
      <c r="C60" s="11">
        <f>+MIN(MasterMenu!$E$36,(AO$27+AO$30+AO$31))</f>
        <v>0</v>
      </c>
      <c r="D60" s="11">
        <f>+MIN(MasterMenu!$E$36,(AP$27+AP$30+AP$31))</f>
        <v>0</v>
      </c>
      <c r="E60" s="11">
        <f>+MIN(MasterMenu!$E$36,(AQ$27+AQ$30+AQ$31))</f>
        <v>0</v>
      </c>
      <c r="F60" s="11">
        <f>+MIN(MasterMenu!$E$36,(AR$27+AR$30+AR$31))</f>
        <v>0</v>
      </c>
      <c r="G60" s="11">
        <f>+MIN(MasterMenu!$E$36,(AS$27+AS$30+AS$31))</f>
        <v>0</v>
      </c>
      <c r="H60" s="11">
        <f>SUM(B60:G60)</f>
        <v>0</v>
      </c>
      <c r="I60" s="191">
        <f>+MIN(MasterMenu!$F$37,TotalRXCost,H60)</f>
        <v>0</v>
      </c>
    </row>
    <row r="61" spans="1:14" x14ac:dyDescent="0.3">
      <c r="A61" s="4" t="s">
        <v>86</v>
      </c>
      <c r="B61" s="10">
        <f>X$32</f>
        <v>0</v>
      </c>
      <c r="C61" s="11">
        <f>Y$32</f>
        <v>0</v>
      </c>
      <c r="D61" s="11">
        <f t="shared" ref="D61:G61" si="50">Z$32</f>
        <v>0</v>
      </c>
      <c r="E61" s="11">
        <f t="shared" si="50"/>
        <v>0</v>
      </c>
      <c r="F61" s="11">
        <f t="shared" si="50"/>
        <v>0</v>
      </c>
      <c r="G61" s="11">
        <f t="shared" si="50"/>
        <v>0</v>
      </c>
      <c r="H61" s="11">
        <f>SUM(B61:G61)</f>
        <v>0</v>
      </c>
      <c r="I61" s="514">
        <f>+MIN(MasterMenu!F35-I60,TotalRXCost,H61)</f>
        <v>0</v>
      </c>
    </row>
    <row r="62" spans="1:14" ht="16.2" thickBot="1" x14ac:dyDescent="0.35">
      <c r="A62" s="204" t="s">
        <v>89</v>
      </c>
      <c r="B62" s="10">
        <f>+MIN(MasterMenu!$E$34,B60+B61)</f>
        <v>0</v>
      </c>
      <c r="C62" s="11">
        <f>+MIN(MasterMenu!$E$34,C60+C61)</f>
        <v>0</v>
      </c>
      <c r="D62" s="11">
        <f>+MIN(MasterMenu!$E$34,D60+D61)</f>
        <v>0</v>
      </c>
      <c r="E62" s="11">
        <f>+MIN(MasterMenu!$E$34,E60+E61)</f>
        <v>0</v>
      </c>
      <c r="F62" s="11">
        <f>+MIN(MasterMenu!$E$34,F60+F61)</f>
        <v>0</v>
      </c>
      <c r="G62" s="11">
        <f>+MIN(MasterMenu!$E$34,G60+G61)</f>
        <v>0</v>
      </c>
      <c r="H62" s="11">
        <f>SUM(B62:G62)</f>
        <v>0</v>
      </c>
      <c r="I62" s="515"/>
      <c r="J62" s="158">
        <f>+MasterMenu!E$35</f>
        <v>3500</v>
      </c>
      <c r="M62" t="str">
        <f>+IF(I62&gt;J62,"Error","ok")</f>
        <v>ok</v>
      </c>
    </row>
    <row r="63" spans="1:14" x14ac:dyDescent="0.3">
      <c r="A63" s="109"/>
      <c r="B63" s="114"/>
      <c r="C63" s="108"/>
      <c r="D63" s="108"/>
      <c r="E63" s="108"/>
      <c r="F63" s="108"/>
      <c r="G63" s="111"/>
      <c r="H63" s="112" t="s">
        <v>91</v>
      </c>
      <c r="I63" s="188">
        <f>+Totalmedcosts+TotalRXCost</f>
        <v>0</v>
      </c>
    </row>
    <row r="64" spans="1:14" x14ac:dyDescent="0.3">
      <c r="A64" s="109"/>
      <c r="B64" s="114"/>
      <c r="C64" s="108"/>
      <c r="D64" s="108"/>
      <c r="E64" s="108"/>
      <c r="F64" s="108"/>
      <c r="G64" s="114"/>
      <c r="H64" s="110" t="s">
        <v>92</v>
      </c>
      <c r="I64" s="187">
        <f>+I60+I58+I61</f>
        <v>0</v>
      </c>
      <c r="J64" s="158" t="str">
        <f>+IF(I64&gt;J58+J62,"ERROR","ok")</f>
        <v>ok</v>
      </c>
    </row>
    <row r="65" spans="1:14" ht="16.2" thickBot="1" x14ac:dyDescent="0.35">
      <c r="A65" s="109"/>
      <c r="B65" s="115"/>
      <c r="C65" s="117"/>
      <c r="D65" s="117"/>
      <c r="E65" s="117"/>
      <c r="F65" s="117"/>
      <c r="G65" s="115"/>
      <c r="H65" s="116" t="s">
        <v>93</v>
      </c>
      <c r="I65" s="189">
        <f>+I63-I64</f>
        <v>0</v>
      </c>
    </row>
    <row r="66" spans="1:14" s="184" customFormat="1" x14ac:dyDescent="0.3">
      <c r="A66" s="180"/>
      <c r="B66" s="181"/>
      <c r="C66" s="181"/>
      <c r="D66" s="181"/>
      <c r="E66" s="181"/>
      <c r="F66" s="181"/>
      <c r="G66" s="181"/>
      <c r="H66" s="182"/>
      <c r="I66" s="181"/>
      <c r="J66" s="183"/>
      <c r="K66" s="183"/>
      <c r="L66" s="183"/>
    </row>
    <row r="67" spans="1:14" ht="16.2" thickBot="1" x14ac:dyDescent="0.35">
      <c r="A67" s="109"/>
      <c r="B67" s="66"/>
      <c r="C67" s="66"/>
      <c r="D67" s="66"/>
      <c r="E67" s="66"/>
      <c r="F67" s="66"/>
      <c r="G67" s="66"/>
      <c r="J67" s="76"/>
      <c r="K67" s="76"/>
      <c r="L67" s="76"/>
    </row>
    <row r="68" spans="1:14" ht="34.799999999999997" x14ac:dyDescent="0.45">
      <c r="A68" s="176" t="str">
        <f>CONCATENATE("Plan ",MasterMenu!G$1)</f>
        <v>Plan 3</v>
      </c>
      <c r="B68" s="511" t="str">
        <f>MasterMenu!G2</f>
        <v>80% L $30</v>
      </c>
      <c r="C68" s="512"/>
      <c r="D68" s="512"/>
      <c r="E68" s="512"/>
      <c r="F68" s="512"/>
      <c r="G68" s="512"/>
      <c r="H68" s="8" t="s">
        <v>81</v>
      </c>
      <c r="I68" s="9" t="s">
        <v>82</v>
      </c>
      <c r="J68" s="158" t="s">
        <v>95</v>
      </c>
    </row>
    <row r="69" spans="1:14" x14ac:dyDescent="0.3">
      <c r="A69" s="109" t="s">
        <v>84</v>
      </c>
      <c r="B69" s="13"/>
      <c r="C69" s="14"/>
      <c r="D69" s="14"/>
      <c r="E69" s="14"/>
      <c r="F69" s="14"/>
      <c r="G69" s="14"/>
      <c r="H69" s="14"/>
      <c r="I69" s="15"/>
      <c r="N69" s="63"/>
    </row>
    <row r="70" spans="1:14" x14ac:dyDescent="0.3">
      <c r="A70" s="4" t="s">
        <v>85</v>
      </c>
      <c r="B70" s="10">
        <f>+MIN(SUMPRODUCT(B$12:B$18,$I$12:$I$18)-EREE*MasterMenu!$G$30,MasterMenu!$G$21)</f>
        <v>0</v>
      </c>
      <c r="C70" s="11">
        <f>+MIN(SUMPRODUCT(C$12:C$18,$I$12:$I$18)-ERSP*MasterMenu!$G$30,MasterMenu!$G$21)</f>
        <v>0</v>
      </c>
      <c r="D70" s="11">
        <f>+MIN(SUMPRODUCT(D$12:D$18,$I$12:$I$18)-_ERC1*MasterMenu!$G$30,MasterMenu!$G$21)</f>
        <v>0</v>
      </c>
      <c r="E70" s="11">
        <f>+MIN(SUMPRODUCT(E$12:E$18,$I$12:$I$18)-_ERC2*MasterMenu!$G$30,MasterMenu!$G$21)</f>
        <v>0</v>
      </c>
      <c r="F70" s="11">
        <f>+MIN(SUMPRODUCT(F$12:F$18,$I$12:$I$18)-_ERC3*MasterMenu!$G$30,MasterMenu!$G$21)</f>
        <v>0</v>
      </c>
      <c r="G70" s="11">
        <f>+MIN(SUMPRODUCT(G$12:G$18,$I$12:$I$18)-_ERC4*MasterMenu!$G$30,MasterMenu!$G$21)</f>
        <v>0</v>
      </c>
      <c r="H70" s="11">
        <f>SUM(B70:G70)</f>
        <v>0</v>
      </c>
      <c r="I70" s="12">
        <f>MIN(MasterMenu!G$22,H70)</f>
        <v>0</v>
      </c>
      <c r="N70" s="63"/>
    </row>
    <row r="71" spans="1:14" x14ac:dyDescent="0.3">
      <c r="A71" s="4" t="s">
        <v>86</v>
      </c>
      <c r="B71" s="10">
        <f>+HWCEE*MasterMenu!$G$26+EREE*MasterMenu!$G$30+TMEE*MasterMenu!$G$32+(_OVEE+MAX(B8-3,0))*MasterMenu!$G$27</f>
        <v>0</v>
      </c>
      <c r="C71" s="11">
        <f>+HWCSP*MasterMenu!$G$26+ERSP*MasterMenu!$G$30+TMSP*MasterMenu!$G$32+(_OVSP+MAX(C8-3,0))*MasterMenu!$G$27</f>
        <v>0</v>
      </c>
      <c r="D71" s="11">
        <f>+HWCC1*MasterMenu!$G$26+_ERC1*MasterMenu!$G$30+_TMC1*MasterMenu!$G$32+(_OVCH1+MAX(D8-3,0))*MasterMenu!$G$27</f>
        <v>0</v>
      </c>
      <c r="E71" s="11">
        <f>+HWCC2*MasterMenu!$G$26+_ERC2*MasterMenu!$G$30+_TMC2*MasterMenu!$G$32+(_OVCH2+MAX(E8-3,0))*MasterMenu!$G$27</f>
        <v>0</v>
      </c>
      <c r="F71" s="11">
        <f>+HWCC3*MasterMenu!$G$26+_ERC3*MasterMenu!$G$30+_TMC3*MasterMenu!$G$32+(_OVCH3+MAX(F8-3,0))*MasterMenu!$G$27</f>
        <v>0</v>
      </c>
      <c r="G71" s="11">
        <f>+HWCC4*MasterMenu!$G$26+_ERC4*MasterMenu!$G$30+_TMC4*MasterMenu!$G$32+(_OVCH4+MAX(G8-3,0))*MasterMenu!$G$27</f>
        <v>0</v>
      </c>
      <c r="H71" s="11">
        <f>SUM(B71:G71)</f>
        <v>0</v>
      </c>
      <c r="I71" s="502">
        <f>+MIN(H73,MasterMenu!G$24)</f>
        <v>0</v>
      </c>
      <c r="N71" s="63"/>
    </row>
    <row r="72" spans="1:14" x14ac:dyDescent="0.3">
      <c r="A72" s="4" t="s">
        <v>87</v>
      </c>
      <c r="B72" s="10">
        <f>+(SUMPRODUCT(B$12:B$18,$I$12:$I$18)-B70-EREE*MasterMenu!$G$30)*MasterMenu!$G$28</f>
        <v>0</v>
      </c>
      <c r="C72" s="11">
        <f>+(SUMPRODUCT(C$12:C$18,$I$12:$I$18)-C70-ERSP*MasterMenu!$G$30)*MasterMenu!$G$28</f>
        <v>0</v>
      </c>
      <c r="D72" s="11">
        <f>+(SUMPRODUCT(D$12:D$18,$I$12:$I$18)-D70-_ERC1*MasterMenu!$G$30)*MasterMenu!$G$28</f>
        <v>0</v>
      </c>
      <c r="E72" s="11">
        <f>+(SUMPRODUCT(E$12:E$18,$I$12:$I$18)-E70-_ERC2*MasterMenu!$G$30)*MasterMenu!$G$28</f>
        <v>0</v>
      </c>
      <c r="F72" s="11">
        <f>+(SUMPRODUCT(F$12:F$18,$I$12:$I$18)-F70-_ERC3*MasterMenu!$G$30)*MasterMenu!$G$28</f>
        <v>0</v>
      </c>
      <c r="G72" s="11">
        <f>+(SUMPRODUCT(G$12:G$18,$I$12:$I$18)-G70-_ERC4*MasterMenu!$G$30)*MasterMenu!$G$28</f>
        <v>0</v>
      </c>
      <c r="H72" s="11">
        <f>SUM(B72:G72)</f>
        <v>0</v>
      </c>
      <c r="I72" s="506"/>
      <c r="N72" s="63"/>
    </row>
    <row r="73" spans="1:14" x14ac:dyDescent="0.3">
      <c r="A73" s="204" t="s">
        <v>88</v>
      </c>
      <c r="B73" s="10">
        <f>+MIN((+B72+B71),MasterMenu!$G$23)</f>
        <v>0</v>
      </c>
      <c r="C73" s="11">
        <f>+MIN((+C72+C71),MasterMenu!$G$23)</f>
        <v>0</v>
      </c>
      <c r="D73" s="11">
        <f>+MIN((+D72+D71),MasterMenu!$G$23)</f>
        <v>0</v>
      </c>
      <c r="E73" s="11">
        <f>+MIN((+E72+E71),MasterMenu!$G$23)</f>
        <v>0</v>
      </c>
      <c r="F73" s="11">
        <f>+MIN((+F72+F71),MasterMenu!$G$23)</f>
        <v>0</v>
      </c>
      <c r="G73" s="11">
        <f>+MIN((+G72+G71),MasterMenu!$G$23)</f>
        <v>0</v>
      </c>
      <c r="H73" s="11">
        <f>SUM(B73:G73)</f>
        <v>0</v>
      </c>
      <c r="I73" s="507"/>
    </row>
    <row r="74" spans="1:14" ht="16.2" thickBot="1" x14ac:dyDescent="0.35">
      <c r="A74" s="204" t="s">
        <v>89</v>
      </c>
      <c r="B74" s="10">
        <f>+MIN((B73+B70),MasterMenu!$G$19)</f>
        <v>0</v>
      </c>
      <c r="C74" s="11">
        <f>+MIN((C73+C70),MasterMenu!$G$19)</f>
        <v>0</v>
      </c>
      <c r="D74" s="11">
        <f>+MIN((D73+D70),MasterMenu!$G$19)</f>
        <v>0</v>
      </c>
      <c r="E74" s="11">
        <f>+MIN((E73+E70),MasterMenu!$G$19)</f>
        <v>0</v>
      </c>
      <c r="F74" s="11">
        <f>+MIN((F73+F70),MasterMenu!$G$19)</f>
        <v>0</v>
      </c>
      <c r="G74" s="11">
        <f>+MIN((G73+G70),MasterMenu!$G$19)</f>
        <v>0</v>
      </c>
      <c r="H74" s="11">
        <f>SUM(B74:G74)</f>
        <v>0</v>
      </c>
      <c r="I74" s="12">
        <f>+MIN((I70+I71),MasterMenu!F$20,Totalmedcosts)</f>
        <v>0</v>
      </c>
      <c r="J74" s="158">
        <f>MasterMenu!G$20</f>
        <v>8000</v>
      </c>
      <c r="M74" t="str">
        <f>+IF(I74&gt;J74,"Error","ok")</f>
        <v>ok</v>
      </c>
    </row>
    <row r="75" spans="1:14" x14ac:dyDescent="0.3">
      <c r="A75" s="109" t="s">
        <v>90</v>
      </c>
      <c r="B75" s="508"/>
      <c r="C75" s="509"/>
      <c r="D75" s="509"/>
      <c r="E75" s="509"/>
      <c r="F75" s="509"/>
      <c r="G75" s="509"/>
      <c r="H75" s="509"/>
      <c r="I75" s="510"/>
    </row>
    <row r="76" spans="1:14" x14ac:dyDescent="0.3">
      <c r="A76" s="4" t="s">
        <v>85</v>
      </c>
      <c r="B76" s="10">
        <f>+MIN(MasterMenu!$G$36,(AN$27+AN$30+AN$31))</f>
        <v>0</v>
      </c>
      <c r="C76" s="11">
        <f>+MIN(MasterMenu!$G$36,(AO$27+AO$30+AO$31))</f>
        <v>0</v>
      </c>
      <c r="D76" s="11">
        <f>+MIN(MasterMenu!$G$36,(AP$27+AP$30+AP$31))</f>
        <v>0</v>
      </c>
      <c r="E76" s="11">
        <f>+MIN(MasterMenu!$G$36,(AQ$27+AQ$30+AQ$31))</f>
        <v>0</v>
      </c>
      <c r="F76" s="11">
        <f>+MIN(MasterMenu!$G$36,(AR$27+AR$30+AR$31))</f>
        <v>0</v>
      </c>
      <c r="G76" s="11">
        <f>+MIN(MasterMenu!$G$36,(AS$27+AS$30+AS$31))</f>
        <v>0</v>
      </c>
      <c r="H76" s="11">
        <f>SUM(B76:G76)</f>
        <v>0</v>
      </c>
      <c r="I76" s="153">
        <f>+MIN(MasterMenu!$G$37,TotalRXCost,H76)</f>
        <v>0</v>
      </c>
    </row>
    <row r="77" spans="1:14" x14ac:dyDescent="0.3">
      <c r="A77" s="4" t="s">
        <v>86</v>
      </c>
      <c r="B77" s="10">
        <f>X$32</f>
        <v>0</v>
      </c>
      <c r="C77" s="11">
        <f t="shared" ref="C77:G77" si="51">Y$32</f>
        <v>0</v>
      </c>
      <c r="D77" s="11">
        <f t="shared" si="51"/>
        <v>0</v>
      </c>
      <c r="E77" s="11">
        <f t="shared" si="51"/>
        <v>0</v>
      </c>
      <c r="F77" s="11">
        <f t="shared" si="51"/>
        <v>0</v>
      </c>
      <c r="G77" s="11">
        <f t="shared" si="51"/>
        <v>0</v>
      </c>
      <c r="H77" s="11">
        <f>SUM(B77:G77)</f>
        <v>0</v>
      </c>
      <c r="I77" s="502">
        <f>+MIN(MasterMenu!G35-I76,TotalRXCost,H77)</f>
        <v>0</v>
      </c>
    </row>
    <row r="78" spans="1:14" ht="16.2" thickBot="1" x14ac:dyDescent="0.35">
      <c r="A78" s="204" t="s">
        <v>89</v>
      </c>
      <c r="B78" s="10">
        <f>+MIN(MasterMenu!$G$34,B77+B76)</f>
        <v>0</v>
      </c>
      <c r="C78" s="11">
        <f>+MIN(MasterMenu!$G$34,C77+C76)</f>
        <v>0</v>
      </c>
      <c r="D78" s="11">
        <f>+MIN(MasterMenu!$G$34,D77+D76)</f>
        <v>0</v>
      </c>
      <c r="E78" s="11">
        <f>+MIN(MasterMenu!$G$34,E77+E76)</f>
        <v>0</v>
      </c>
      <c r="F78" s="11">
        <f>+MIN(MasterMenu!$G$34,F77+F76)</f>
        <v>0</v>
      </c>
      <c r="G78" s="11">
        <f>+MIN(MasterMenu!$G$34,G77+G76)</f>
        <v>0</v>
      </c>
      <c r="H78" s="11">
        <f>SUM(B78:G78)</f>
        <v>0</v>
      </c>
      <c r="I78" s="503" t="e">
        <f>+MIN(MasterMenu!#REF!,TotalRXCost,H80)</f>
        <v>#REF!</v>
      </c>
      <c r="J78" s="158">
        <f>+MasterMenu!G35</f>
        <v>3500</v>
      </c>
      <c r="M78" t="str">
        <f>+IF(I77&gt;J78,"Error","ok")</f>
        <v>ok</v>
      </c>
    </row>
    <row r="79" spans="1:14" x14ac:dyDescent="0.3">
      <c r="A79" s="109"/>
      <c r="B79" s="114"/>
      <c r="C79" s="108"/>
      <c r="D79" s="108"/>
      <c r="E79" s="108"/>
      <c r="F79" s="108"/>
      <c r="G79" s="111"/>
      <c r="H79" s="112" t="s">
        <v>91</v>
      </c>
      <c r="I79" s="113">
        <f>+Totalmedcosts+TotalRXCost</f>
        <v>0</v>
      </c>
    </row>
    <row r="80" spans="1:14" x14ac:dyDescent="0.3">
      <c r="A80" s="109"/>
      <c r="B80" s="114"/>
      <c r="C80" s="108"/>
      <c r="D80" s="108"/>
      <c r="E80" s="108"/>
      <c r="F80" s="108"/>
      <c r="G80" s="114"/>
      <c r="H80" s="110" t="s">
        <v>92</v>
      </c>
      <c r="I80" s="12">
        <f>+I76+I74+I77</f>
        <v>0</v>
      </c>
      <c r="J80" s="158" t="str">
        <f>+IF(I80&gt;J74+J78,"ERROR","ok")</f>
        <v>ok</v>
      </c>
    </row>
    <row r="81" spans="1:14" ht="16.2" thickBot="1" x14ac:dyDescent="0.35">
      <c r="A81" s="109"/>
      <c r="B81" s="115"/>
      <c r="C81" s="117"/>
      <c r="D81" s="117"/>
      <c r="E81" s="117"/>
      <c r="F81" s="117"/>
      <c r="G81" s="115"/>
      <c r="H81" s="116" t="s">
        <v>93</v>
      </c>
      <c r="I81" s="16">
        <f>+I79-I80</f>
        <v>0</v>
      </c>
    </row>
    <row r="82" spans="1:14" s="184" customFormat="1" x14ac:dyDescent="0.3">
      <c r="A82" s="180"/>
      <c r="B82" s="181"/>
      <c r="C82" s="181"/>
      <c r="D82" s="181"/>
      <c r="E82" s="181"/>
      <c r="F82" s="181"/>
      <c r="G82" s="181"/>
      <c r="H82" s="182"/>
      <c r="I82" s="181"/>
      <c r="J82" s="183"/>
      <c r="K82" s="183"/>
      <c r="L82" s="183"/>
    </row>
    <row r="83" spans="1:14" ht="16.2" thickBot="1" x14ac:dyDescent="0.35"/>
    <row r="84" spans="1:14" ht="34.799999999999997" x14ac:dyDescent="0.45">
      <c r="A84" s="176" t="str">
        <f>CONCATENATE("Plan ",MasterMenu!H$1)</f>
        <v>Plan 4</v>
      </c>
      <c r="B84" s="504" t="str">
        <f>MasterMenu!H2</f>
        <v>80% M $40</v>
      </c>
      <c r="C84" s="505"/>
      <c r="D84" s="505"/>
      <c r="E84" s="505"/>
      <c r="F84" s="505"/>
      <c r="G84" s="505"/>
      <c r="H84" s="8" t="s">
        <v>81</v>
      </c>
      <c r="I84" s="9" t="s">
        <v>82</v>
      </c>
      <c r="J84" s="158" t="s">
        <v>96</v>
      </c>
    </row>
    <row r="85" spans="1:14" x14ac:dyDescent="0.3">
      <c r="A85" s="109" t="s">
        <v>84</v>
      </c>
      <c r="B85" s="13"/>
      <c r="C85" s="14"/>
      <c r="D85" s="14"/>
      <c r="E85" s="14"/>
      <c r="F85" s="14"/>
      <c r="G85" s="14"/>
      <c r="H85" s="14"/>
      <c r="I85" s="15"/>
      <c r="N85" s="63"/>
    </row>
    <row r="86" spans="1:14" x14ac:dyDescent="0.3">
      <c r="A86" s="4" t="s">
        <v>85</v>
      </c>
      <c r="B86" s="10">
        <f>+MIN(SUMPRODUCT(B$12:B$18,$I$12:$I$18)-EREE*MasterMenu!$H$30,MasterMenu!$H$21)</f>
        <v>0</v>
      </c>
      <c r="C86" s="11">
        <f>+MIN(SUMPRODUCT(C$12:C$18,$I$12:$I$18)-ERSP*MasterMenu!$H$30,MasterMenu!$H$21)</f>
        <v>0</v>
      </c>
      <c r="D86" s="11">
        <f>+MIN(SUMPRODUCT(D$12:D$18,$I$12:$I$18)-_ERC1*MasterMenu!$H$30,MasterMenu!$H$21)</f>
        <v>0</v>
      </c>
      <c r="E86" s="11">
        <f>+MIN(SUMPRODUCT(E$12:E$18,$I$12:$I$18)-_ERC2*MasterMenu!$H$30,MasterMenu!$H$21)</f>
        <v>0</v>
      </c>
      <c r="F86" s="11">
        <f>+MIN(SUMPRODUCT(F$12:F$18,$I$12:$I$18)-_ERC3*MasterMenu!$H$30,MasterMenu!$H$21)</f>
        <v>0</v>
      </c>
      <c r="G86" s="11">
        <f>+MIN(SUMPRODUCT(G$12:G$18,$I$12:$I$18)-_ERC4*MasterMenu!$H$30,MasterMenu!$H$21)</f>
        <v>0</v>
      </c>
      <c r="H86" s="11">
        <f>SUM(B86:G86)</f>
        <v>0</v>
      </c>
      <c r="I86" s="12">
        <f>MIN(MasterMenu!H$22,H86)</f>
        <v>0</v>
      </c>
      <c r="N86" s="63"/>
    </row>
    <row r="87" spans="1:14" x14ac:dyDescent="0.3">
      <c r="A87" s="4" t="s">
        <v>86</v>
      </c>
      <c r="B87" s="10">
        <f>+HWCEE*MasterMenu!$H$26+EREE*MasterMenu!$H$30+TMEE*MasterMenu!$H$32+(_OVEE+MAX(B8-3,0))*MasterMenu!$H$27</f>
        <v>0</v>
      </c>
      <c r="C87" s="11">
        <f>+HWCSP*MasterMenu!$H$26+ERSP*MasterMenu!$H$30+TMSP*MasterMenu!$H$32+(_OVSP+MAX(C8-3,0))*MasterMenu!$H$27</f>
        <v>0</v>
      </c>
      <c r="D87" s="11">
        <f>+HWCC1*MasterMenu!$H$26+_ERC1*MasterMenu!$H$30+_TMC1*MasterMenu!$H$32+(_OVCH1+MAX(D8-3,0))*MasterMenu!$H$27</f>
        <v>0</v>
      </c>
      <c r="E87" s="11">
        <f>+HWCC2*MasterMenu!$H$26+_ERC2*MasterMenu!$H$30+_TMC2*MasterMenu!$H$32+(_OVCH2+MAX(E8-3,0))*MasterMenu!$H$27</f>
        <v>0</v>
      </c>
      <c r="F87" s="11">
        <f>+HWCC3*MasterMenu!$H$26+_ERC3*MasterMenu!$H$30+_TMC3*MasterMenu!$H$32+(_OVCH3+MAX(F8-3,0))*MasterMenu!$H$27</f>
        <v>0</v>
      </c>
      <c r="G87" s="11">
        <f>+HWCC4*MasterMenu!$H$26+_ERC4*MasterMenu!$H$30+_TMC4*MasterMenu!$H$32+(_OVCH4+MAX(G8-3,0))*MasterMenu!$H$27</f>
        <v>0</v>
      </c>
      <c r="H87" s="11">
        <f>SUM(B87:G87)</f>
        <v>0</v>
      </c>
      <c r="I87" s="502">
        <f>+MIN(H89,MasterMenu!H$24)</f>
        <v>0</v>
      </c>
      <c r="N87" s="63"/>
    </row>
    <row r="88" spans="1:14" x14ac:dyDescent="0.3">
      <c r="A88" s="4" t="s">
        <v>87</v>
      </c>
      <c r="B88" s="10">
        <f>+(SUMPRODUCT(B$12:B$18,$I$12:$I$18)-B86-EREE*MasterMenu!$H$30)*MasterMenu!$H$28</f>
        <v>0</v>
      </c>
      <c r="C88" s="11">
        <f>+(SUMPRODUCT(C$12:C$18,$I$12:$I$18)-C86-ERSP*MasterMenu!$H$30)*MasterMenu!$H$28</f>
        <v>0</v>
      </c>
      <c r="D88" s="11">
        <f>+(SUMPRODUCT(D$12:D$18,$I$12:$I$18)-D86-_ERC1*MasterMenu!$H$30)*MasterMenu!$H$28</f>
        <v>0</v>
      </c>
      <c r="E88" s="11">
        <f>+(SUMPRODUCT(E$12:E$18,$I$12:$I$18)-E86-_ERC2*MasterMenu!$H$30)*MasterMenu!$H$28</f>
        <v>0</v>
      </c>
      <c r="F88" s="11">
        <f>+(SUMPRODUCT(F$12:F$18,$I$12:$I$18)-F86-_ERC3*MasterMenu!$H$30)*MasterMenu!$H$28</f>
        <v>0</v>
      </c>
      <c r="G88" s="11">
        <f>+(SUMPRODUCT(G$12:G$18,$I$12:$I$18)-G86-_ERC4*MasterMenu!$H$30)*MasterMenu!$H$28</f>
        <v>0</v>
      </c>
      <c r="H88" s="11">
        <f>SUM(B88:G88)</f>
        <v>0</v>
      </c>
      <c r="I88" s="506"/>
      <c r="N88" s="63"/>
    </row>
    <row r="89" spans="1:14" x14ac:dyDescent="0.3">
      <c r="A89" s="204" t="s">
        <v>88</v>
      </c>
      <c r="B89" s="10">
        <f>+MIN((+B88+B87),MasterMenu!$H$23)</f>
        <v>0</v>
      </c>
      <c r="C89" s="11">
        <f>+MIN((+C88+C87),MasterMenu!$H$23)</f>
        <v>0</v>
      </c>
      <c r="D89" s="11">
        <f>+MIN((+D88+D87),MasterMenu!$H$23)</f>
        <v>0</v>
      </c>
      <c r="E89" s="11">
        <f>+MIN((+E88+E87),MasterMenu!$H$23)</f>
        <v>0</v>
      </c>
      <c r="F89" s="11">
        <f>+MIN((+F88+F87),MasterMenu!$H$23)</f>
        <v>0</v>
      </c>
      <c r="G89" s="11">
        <f>+MIN((+G88+G87),MasterMenu!$H$23)</f>
        <v>0</v>
      </c>
      <c r="H89" s="11">
        <f>SUM(B89:G89)</f>
        <v>0</v>
      </c>
      <c r="I89" s="507"/>
    </row>
    <row r="90" spans="1:14" ht="16.2" thickBot="1" x14ac:dyDescent="0.35">
      <c r="A90" s="204" t="s">
        <v>89</v>
      </c>
      <c r="B90" s="10">
        <f>+MIN((B89+B86),MasterMenu!$H$19)</f>
        <v>0</v>
      </c>
      <c r="C90" s="11">
        <f>+MIN((C89+C86),MasterMenu!$H$19)</f>
        <v>0</v>
      </c>
      <c r="D90" s="11">
        <f>+MIN((D89+D86),MasterMenu!$H$19)</f>
        <v>0</v>
      </c>
      <c r="E90" s="11">
        <f>+MIN((E89+E86),MasterMenu!$H$19)</f>
        <v>0</v>
      </c>
      <c r="F90" s="11">
        <f>+MIN((F89+F86),MasterMenu!$H$19)</f>
        <v>0</v>
      </c>
      <c r="G90" s="11">
        <f>+MIN((G89+G86),MasterMenu!$H$19)</f>
        <v>0</v>
      </c>
      <c r="H90" s="11">
        <f>SUM(B90:G90)</f>
        <v>0</v>
      </c>
      <c r="I90" s="12">
        <f>+MIN((I86+I87),MasterMenu!H$20,Totalmedcosts)</f>
        <v>0</v>
      </c>
      <c r="J90" s="158">
        <f>MasterMenu!G$20</f>
        <v>8000</v>
      </c>
      <c r="M90" t="str">
        <f>+IF(I90&gt;J90,"Error","ok")</f>
        <v>ok</v>
      </c>
    </row>
    <row r="91" spans="1:14" x14ac:dyDescent="0.3">
      <c r="A91" s="109" t="s">
        <v>90</v>
      </c>
      <c r="B91" s="508"/>
      <c r="C91" s="509"/>
      <c r="D91" s="509"/>
      <c r="E91" s="509"/>
      <c r="F91" s="509"/>
      <c r="G91" s="509"/>
      <c r="H91" s="509"/>
      <c r="I91" s="510"/>
    </row>
    <row r="92" spans="1:14" x14ac:dyDescent="0.3">
      <c r="A92" s="4" t="s">
        <v>85</v>
      </c>
      <c r="B92" s="10">
        <f>+MIN(MasterMenu!$H$36,(AN$27+AN$30+AN$31))</f>
        <v>0</v>
      </c>
      <c r="C92" s="11">
        <f>+MIN(MasterMenu!$H$36,(AO$27+AO$30+AO$31))</f>
        <v>0</v>
      </c>
      <c r="D92" s="11">
        <f>+MIN(MasterMenu!$H$36,(AP$27+AP$30+AP$31))</f>
        <v>0</v>
      </c>
      <c r="E92" s="11">
        <f>+MIN(MasterMenu!$H$36,(AQ$27+AQ$30+AQ$31))</f>
        <v>0</v>
      </c>
      <c r="F92" s="11">
        <f>+MIN(MasterMenu!$H$36,(AR$27+AR$30+AR$31))</f>
        <v>0</v>
      </c>
      <c r="G92" s="11">
        <f>+MIN(MasterMenu!$H$36,(AS$27+AS$30+AS$31))</f>
        <v>0</v>
      </c>
      <c r="H92" s="11">
        <f>SUM(B92:G92)</f>
        <v>0</v>
      </c>
      <c r="I92" s="153">
        <f>+MIN(MasterMenu!$H$37,TotalRXCost,H92)</f>
        <v>0</v>
      </c>
    </row>
    <row r="93" spans="1:14" x14ac:dyDescent="0.3">
      <c r="A93" s="4" t="s">
        <v>86</v>
      </c>
      <c r="B93" s="10">
        <f>X$32</f>
        <v>0</v>
      </c>
      <c r="C93" s="11">
        <f t="shared" ref="C93" si="52">Y$32</f>
        <v>0</v>
      </c>
      <c r="D93" s="11">
        <f t="shared" ref="D93" si="53">Z$32</f>
        <v>0</v>
      </c>
      <c r="E93" s="11">
        <f t="shared" ref="E93" si="54">AA$32</f>
        <v>0</v>
      </c>
      <c r="F93" s="11">
        <f t="shared" ref="F93" si="55">AB$32</f>
        <v>0</v>
      </c>
      <c r="G93" s="11">
        <f t="shared" ref="G93" si="56">AC$32</f>
        <v>0</v>
      </c>
      <c r="H93" s="11">
        <f>SUM(B93:G93)</f>
        <v>0</v>
      </c>
      <c r="I93" s="502">
        <f>+MIN(MasterMenu!H35-I92,TotalRXCost,H93)</f>
        <v>0</v>
      </c>
    </row>
    <row r="94" spans="1:14" ht="16.2" thickBot="1" x14ac:dyDescent="0.35">
      <c r="A94" s="204" t="s">
        <v>89</v>
      </c>
      <c r="B94" s="10">
        <f>+MIN(MasterMenu!$H$34,B93+B92)</f>
        <v>0</v>
      </c>
      <c r="C94" s="11">
        <f>+MIN(MasterMenu!$H$34,C93+C92)</f>
        <v>0</v>
      </c>
      <c r="D94" s="11">
        <f>+MIN(MasterMenu!$H$34,D93+D92)</f>
        <v>0</v>
      </c>
      <c r="E94" s="11">
        <f>+MIN(MasterMenu!$H$34,E93+E92)</f>
        <v>0</v>
      </c>
      <c r="F94" s="11">
        <f>+MIN(MasterMenu!$H$34,F93+F92)</f>
        <v>0</v>
      </c>
      <c r="G94" s="11">
        <f>+MIN(MasterMenu!$H$34,G93+G92)</f>
        <v>0</v>
      </c>
      <c r="H94" s="11">
        <f>SUM(B94:G94)</f>
        <v>0</v>
      </c>
      <c r="I94" s="503" t="e">
        <f>+MIN(MasterMenu!#REF!,TotalRXCost,H96)</f>
        <v>#REF!</v>
      </c>
      <c r="J94" s="158">
        <f>+MasterMenu!H35</f>
        <v>3500</v>
      </c>
      <c r="M94" t="str">
        <f>+IF(I93&gt;J94+I92,"Error","ok")</f>
        <v>ok</v>
      </c>
    </row>
    <row r="95" spans="1:14" x14ac:dyDescent="0.3">
      <c r="A95" s="109"/>
      <c r="B95" s="114"/>
      <c r="C95" s="108"/>
      <c r="D95" s="108"/>
      <c r="E95" s="108"/>
      <c r="F95" s="108"/>
      <c r="G95" s="111"/>
      <c r="H95" s="112" t="s">
        <v>91</v>
      </c>
      <c r="I95" s="113">
        <f>+Totalmedcosts+TotalRXCost</f>
        <v>0</v>
      </c>
    </row>
    <row r="96" spans="1:14" x14ac:dyDescent="0.3">
      <c r="A96" s="109"/>
      <c r="B96" s="114"/>
      <c r="C96" s="108"/>
      <c r="D96" s="108"/>
      <c r="E96" s="108"/>
      <c r="F96" s="108"/>
      <c r="G96" s="114"/>
      <c r="H96" s="110" t="s">
        <v>92</v>
      </c>
      <c r="I96" s="12">
        <f>+I92+I90+I93</f>
        <v>0</v>
      </c>
      <c r="J96" s="158" t="str">
        <f>+IF(I96&gt;J90+J94,"ERROR","ok")</f>
        <v>ok</v>
      </c>
    </row>
    <row r="97" spans="1:44" ht="16.2" thickBot="1" x14ac:dyDescent="0.35">
      <c r="A97" s="109"/>
      <c r="B97" s="115"/>
      <c r="C97" s="117"/>
      <c r="D97" s="117"/>
      <c r="E97" s="117"/>
      <c r="F97" s="117"/>
      <c r="G97" s="115"/>
      <c r="H97" s="116" t="s">
        <v>93</v>
      </c>
      <c r="I97" s="16">
        <f>+I95-I96</f>
        <v>0</v>
      </c>
    </row>
    <row r="99" spans="1:44" ht="16.2" thickBot="1" x14ac:dyDescent="0.35"/>
    <row r="100" spans="1:44" ht="34.799999999999997" x14ac:dyDescent="0.45">
      <c r="A100" s="176" t="str">
        <f>CONCATENATE("Plan ",MasterMenu!I$1)</f>
        <v>Plan 5</v>
      </c>
      <c r="B100" s="493" t="str">
        <f>+MasterMenu!I2</f>
        <v>HSA $1700</v>
      </c>
      <c r="C100" s="494"/>
      <c r="D100" s="494"/>
      <c r="E100" s="494"/>
      <c r="F100" s="494"/>
      <c r="G100" s="494"/>
      <c r="H100" s="135" t="s">
        <v>81</v>
      </c>
      <c r="I100" s="136" t="s">
        <v>82</v>
      </c>
      <c r="J100" s="5" t="s">
        <v>97</v>
      </c>
      <c r="K100" s="5"/>
      <c r="L100" s="158" t="s">
        <v>98</v>
      </c>
    </row>
    <row r="101" spans="1:44" x14ac:dyDescent="0.3">
      <c r="A101" s="109" t="s">
        <v>84</v>
      </c>
      <c r="B101" s="137"/>
      <c r="C101" s="138"/>
      <c r="D101" s="138"/>
      <c r="E101" s="138"/>
      <c r="F101" s="138"/>
      <c r="G101" s="138"/>
      <c r="H101" s="138"/>
      <c r="I101" s="139"/>
      <c r="N101" s="63"/>
    </row>
    <row r="102" spans="1:44" x14ac:dyDescent="0.3">
      <c r="A102" s="4" t="s">
        <v>85</v>
      </c>
      <c r="B102" s="140">
        <f>+MIN(SUMPRODUCT(B$4:B$20,$I$4:$I$20)-EREE*MasterMenu!$I$30,MasterMenu!$I$21)</f>
        <v>0</v>
      </c>
      <c r="C102" s="141" t="s">
        <v>31</v>
      </c>
      <c r="D102" s="141" t="s">
        <v>31</v>
      </c>
      <c r="E102" s="141" t="s">
        <v>31</v>
      </c>
      <c r="F102" s="141" t="s">
        <v>31</v>
      </c>
      <c r="G102" s="141" t="s">
        <v>31</v>
      </c>
      <c r="H102" s="142">
        <f>SUM(B102:G102)</f>
        <v>0</v>
      </c>
      <c r="I102" s="143">
        <f>MIN(MasterMenu!I$22,H102)</f>
        <v>0</v>
      </c>
      <c r="N102" s="63"/>
    </row>
    <row r="103" spans="1:44" x14ac:dyDescent="0.3">
      <c r="A103" s="4" t="s">
        <v>86</v>
      </c>
      <c r="B103" s="140"/>
      <c r="C103" s="141" t="s">
        <v>31</v>
      </c>
      <c r="D103" s="141" t="s">
        <v>31</v>
      </c>
      <c r="E103" s="141" t="s">
        <v>31</v>
      </c>
      <c r="F103" s="141" t="s">
        <v>31</v>
      </c>
      <c r="G103" s="141" t="s">
        <v>31</v>
      </c>
      <c r="H103" s="142">
        <f>SUM(B103:G103)</f>
        <v>0</v>
      </c>
      <c r="I103" s="495">
        <f>+MIN(H105,MasterMenu!I$24)</f>
        <v>0</v>
      </c>
      <c r="J103" s="154" t="s">
        <v>99</v>
      </c>
      <c r="K103" s="154"/>
      <c r="L103" s="154"/>
      <c r="N103" s="63"/>
      <c r="AN103">
        <f>+IF(B108&lt;MasterMenu!$H$36,0,IF(AV$25&gt;B108,MIN(AV$25-B108,B$25*$L$25*$O$25,ROUNDUP((AV$25-B108)/$I$25,0)*$O$25),0))</f>
        <v>0</v>
      </c>
      <c r="AO103" t="e">
        <f>+AN103/O25</f>
        <v>#DIV/0!</v>
      </c>
    </row>
    <row r="104" spans="1:44" x14ac:dyDescent="0.3">
      <c r="A104" s="4" t="s">
        <v>87</v>
      </c>
      <c r="B104" s="140">
        <f>+MAX(0,(SUMPRODUCT(B$4:B$18,$I$4:$I$18)-B102-EREE*MasterMenu!$I$30)*MasterMenu!$I$28)</f>
        <v>0</v>
      </c>
      <c r="C104" s="141" t="s">
        <v>31</v>
      </c>
      <c r="D104" s="141" t="s">
        <v>31</v>
      </c>
      <c r="E104" s="141" t="s">
        <v>31</v>
      </c>
      <c r="F104" s="141" t="s">
        <v>31</v>
      </c>
      <c r="G104" s="141" t="s">
        <v>31</v>
      </c>
      <c r="H104" s="142">
        <f>SUM(B104:G104)</f>
        <v>0</v>
      </c>
      <c r="I104" s="495"/>
      <c r="N104" s="63"/>
      <c r="AN104">
        <f>+IF(B108&lt;MasterMenu!$H$36,0,IF(AV$26&gt;B108,MIN(AV$26-B108,B$26*$L$26*$O$26,ROUNDUP((AV$26-B108)/$I$26,0)*$O$26),0))</f>
        <v>0</v>
      </c>
      <c r="AO104">
        <f>+AN104/O26</f>
        <v>0</v>
      </c>
    </row>
    <row r="105" spans="1:44" x14ac:dyDescent="0.3">
      <c r="A105" s="204" t="s">
        <v>88</v>
      </c>
      <c r="B105" s="140">
        <f>+MIN((+B104+B103),MasterMenu!$I$19-B102)</f>
        <v>0</v>
      </c>
      <c r="C105" s="141" t="s">
        <v>31</v>
      </c>
      <c r="D105" s="141" t="s">
        <v>31</v>
      </c>
      <c r="E105" s="141" t="s">
        <v>31</v>
      </c>
      <c r="F105" s="141" t="s">
        <v>31</v>
      </c>
      <c r="G105" s="141" t="s">
        <v>31</v>
      </c>
      <c r="H105" s="142">
        <f>SUM(B105:G105)</f>
        <v>0</v>
      </c>
      <c r="I105" s="495"/>
      <c r="AN105">
        <f>+IF(B108&lt;MasterMenu!$H$36,0,IF(AV$27&gt;B108,MIN(AV$27-B108,B$27*$L$27*$O$27,ROUNDUP((AV$27-B108)/$I$27,0)*$O$27),0))</f>
        <v>0</v>
      </c>
      <c r="AO105">
        <f>+AN105/O27</f>
        <v>0</v>
      </c>
      <c r="AP105" s="5"/>
      <c r="AQ105" s="173"/>
      <c r="AR105" s="174"/>
    </row>
    <row r="106" spans="1:44" ht="16.2" thickBot="1" x14ac:dyDescent="0.35">
      <c r="A106" s="204" t="s">
        <v>89</v>
      </c>
      <c r="B106" s="140">
        <f>+MIN((B105+B102),MasterMenu!$I$19)</f>
        <v>0</v>
      </c>
      <c r="C106" s="141" t="s">
        <v>31</v>
      </c>
      <c r="D106" s="141" t="s">
        <v>31</v>
      </c>
      <c r="E106" s="141" t="s">
        <v>31</v>
      </c>
      <c r="F106" s="141" t="s">
        <v>31</v>
      </c>
      <c r="G106" s="141" t="s">
        <v>31</v>
      </c>
      <c r="H106" s="142">
        <f>SUM(B106:G106)</f>
        <v>0</v>
      </c>
      <c r="I106" s="143">
        <f>+MIN((I102+I103),MasterMenu!I$20,Totalmedcosts)</f>
        <v>0</v>
      </c>
      <c r="AN106">
        <f>+IF(B108&lt;MasterMenu!$H$36,0,IF(AV$28&gt;B108,MIN(AV$28-B108,B$28*$L$28*$O$28,ROUNDUP((AV$28-B108)/$I$28,0)*$O$28),0))</f>
        <v>0</v>
      </c>
      <c r="AO106" t="e">
        <f>+AN106/O28</f>
        <v>#DIV/0!</v>
      </c>
      <c r="AP106" s="152"/>
      <c r="AQ106" s="152"/>
    </row>
    <row r="107" spans="1:44" x14ac:dyDescent="0.3">
      <c r="A107" s="109" t="s">
        <v>90</v>
      </c>
      <c r="B107" s="496"/>
      <c r="C107" s="497"/>
      <c r="D107" s="497"/>
      <c r="E107" s="497"/>
      <c r="F107" s="497"/>
      <c r="G107" s="497"/>
      <c r="H107" s="497"/>
      <c r="I107" s="498"/>
      <c r="AM107" s="175">
        <f>+IF(A108&lt;MasterMenu!$H$36,0,IF(SUM(AM108:AM$109)&gt;0,AE29,IF(AV29&gt;0,MAX(0,(A29*$L29)-ROUNDDOWN(MasterMenu!$H$36/'Estimated Costs'!H29,0)))*$O29))</f>
        <v>0</v>
      </c>
      <c r="AN107">
        <f>+IF(B108&lt;MasterMenu!$H$36,0,IF(AV$29&gt;B108,MIN(AV$29-B108,B$29*$L$29*$O$29,ROUNDUP((AV$29-B108)/$I$29,0)*$O$29),0))</f>
        <v>0</v>
      </c>
      <c r="AO107">
        <f>+AN107/O29</f>
        <v>0</v>
      </c>
      <c r="AP107" s="152"/>
      <c r="AQ107" s="152"/>
    </row>
    <row r="108" spans="1:44" x14ac:dyDescent="0.3">
      <c r="A108" s="4" t="s">
        <v>85</v>
      </c>
      <c r="B108" s="140">
        <f>+MIN(MasterMenu!$I$36-B102,(AN$32))</f>
        <v>0</v>
      </c>
      <c r="C108" s="141" t="s">
        <v>31</v>
      </c>
      <c r="D108" s="141" t="s">
        <v>31</v>
      </c>
      <c r="E108" s="141" t="s">
        <v>31</v>
      </c>
      <c r="F108" s="141" t="s">
        <v>31</v>
      </c>
      <c r="G108" s="141" t="s">
        <v>31</v>
      </c>
      <c r="H108" s="142">
        <f>SUM(B108:G108)</f>
        <v>0</v>
      </c>
      <c r="I108" s="499">
        <f>+MIN(MasterMenu!$I$35,H110)</f>
        <v>0</v>
      </c>
      <c r="AM108" s="175">
        <f>+IF(A108&lt;MasterMenu!$H$36,0,IF(AM$109&gt;0,AE30,IF(AV30&gt;0,MAX(0,(A30*$L30)-ROUNDDOWN(MasterMenu!$H$36/'Estimated Costs'!H30,0)))*$O30))</f>
        <v>0</v>
      </c>
      <c r="AN108">
        <f>+IF(B108&lt;MasterMenu!$H$36,0,IF(AV$30&gt;B108,MIN(AV$30-B108,B$30*$L$30*$O$30,ROUNDUP((AV$30-B108)/$I$30,0)*$O$30),0))</f>
        <v>0</v>
      </c>
      <c r="AO108">
        <f>+AN108/O30</f>
        <v>0</v>
      </c>
      <c r="AP108" s="17"/>
    </row>
    <row r="109" spans="1:44" x14ac:dyDescent="0.3">
      <c r="A109" s="4" t="s">
        <v>86</v>
      </c>
      <c r="B109" s="140">
        <f>+IF(B108=0,AF$32,AN110)</f>
        <v>0</v>
      </c>
      <c r="C109" s="141" t="s">
        <v>31</v>
      </c>
      <c r="D109" s="141" t="s">
        <v>31</v>
      </c>
      <c r="E109" s="141" t="s">
        <v>31</v>
      </c>
      <c r="F109" s="141" t="s">
        <v>31</v>
      </c>
      <c r="G109" s="141" t="s">
        <v>31</v>
      </c>
      <c r="H109" s="142">
        <f>SUM(B109:G109)</f>
        <v>0</v>
      </c>
      <c r="I109" s="500"/>
      <c r="AM109" s="175">
        <f>+IF(A108&lt;MasterMenu!$H$36,0,IF(AV31&gt;0,MAX(0,(A31*$L31)-ROUNDDOWN(MasterMenu!$H$36/'Estimated Costs'!H31,0)))*$O31)</f>
        <v>0</v>
      </c>
      <c r="AN109">
        <f>+IF(B108&lt;MasterMenu!$H$36,0,IF(AV$31&gt;B108,MIN(AV$31-B108,B$31*$L$31*$O$31,ROUNDUP((AV$31-B108)/$I$31,0)*$O$31),0))</f>
        <v>0</v>
      </c>
      <c r="AO109">
        <f t="shared" ref="AO109" si="57">+AN109/O31</f>
        <v>0</v>
      </c>
    </row>
    <row r="110" spans="1:44" ht="16.2" thickBot="1" x14ac:dyDescent="0.35">
      <c r="A110" s="204" t="s">
        <v>89</v>
      </c>
      <c r="B110" s="161">
        <f>+MAX(0,MIN(MasterMenu!$I$34,B109+B108))</f>
        <v>0</v>
      </c>
      <c r="C110" s="162" t="s">
        <v>31</v>
      </c>
      <c r="D110" s="162" t="s">
        <v>31</v>
      </c>
      <c r="E110" s="162" t="s">
        <v>31</v>
      </c>
      <c r="F110" s="162" t="s">
        <v>31</v>
      </c>
      <c r="G110" s="162" t="s">
        <v>31</v>
      </c>
      <c r="H110" s="163">
        <f>SUM(B110:G110)</f>
        <v>0</v>
      </c>
      <c r="I110" s="501"/>
      <c r="AN110">
        <f>SUM(AN103:AN109)</f>
        <v>0</v>
      </c>
    </row>
    <row r="111" spans="1:44" ht="16.2" thickBot="1" x14ac:dyDescent="0.35">
      <c r="A111" s="109" t="s">
        <v>89</v>
      </c>
      <c r="B111" s="164">
        <f>+MIN(B110+B106,MasterMenu!$I$19)</f>
        <v>0</v>
      </c>
      <c r="C111" s="165" t="s">
        <v>31</v>
      </c>
      <c r="D111" s="165" t="s">
        <v>31</v>
      </c>
      <c r="E111" s="165" t="s">
        <v>31</v>
      </c>
      <c r="F111" s="165" t="s">
        <v>31</v>
      </c>
      <c r="G111" s="165" t="s">
        <v>31</v>
      </c>
      <c r="H111" s="166">
        <f>SUM(B111:G111)</f>
        <v>0</v>
      </c>
      <c r="I111" s="160">
        <f>+MIN(H111,I108+I106,MasterMenu!$I$19)</f>
        <v>0</v>
      </c>
    </row>
    <row r="112" spans="1:44" x14ac:dyDescent="0.3">
      <c r="A112" s="109"/>
      <c r="B112" s="144"/>
      <c r="C112" s="145"/>
      <c r="D112" s="145"/>
      <c r="E112" s="145"/>
      <c r="F112" s="145"/>
      <c r="G112" s="144"/>
      <c r="H112" s="148" t="s">
        <v>91</v>
      </c>
      <c r="I112" s="167">
        <f>+TotalMedEE+TotalRXEE</f>
        <v>0</v>
      </c>
    </row>
    <row r="113" spans="1:45" x14ac:dyDescent="0.3">
      <c r="A113" s="109"/>
      <c r="B113" s="144"/>
      <c r="C113" s="145"/>
      <c r="D113" s="145"/>
      <c r="E113" s="145"/>
      <c r="F113" s="145"/>
      <c r="G113" s="144"/>
      <c r="H113" s="148" t="s">
        <v>92</v>
      </c>
      <c r="I113" s="168">
        <f>I111</f>
        <v>0</v>
      </c>
      <c r="J113" s="158">
        <f>MasterMenu!I$19</f>
        <v>3400</v>
      </c>
      <c r="M113" t="str">
        <f>+IF(I113&gt;J113,"Error","ok")</f>
        <v>ok</v>
      </c>
    </row>
    <row r="114" spans="1:45" ht="16.2" thickBot="1" x14ac:dyDescent="0.35">
      <c r="A114" s="109"/>
      <c r="B114" s="149"/>
      <c r="C114" s="150"/>
      <c r="D114" s="150"/>
      <c r="E114" s="150"/>
      <c r="F114" s="150"/>
      <c r="G114" s="149"/>
      <c r="H114" s="151" t="s">
        <v>93</v>
      </c>
      <c r="I114" s="169">
        <f>+I112-I113</f>
        <v>0</v>
      </c>
    </row>
    <row r="115" spans="1:45" x14ac:dyDescent="0.3">
      <c r="A115" s="109"/>
      <c r="B115" s="66"/>
      <c r="C115" s="66"/>
      <c r="D115" s="66"/>
      <c r="E115" s="66"/>
      <c r="F115" s="66"/>
      <c r="G115" s="66"/>
      <c r="H115" s="185"/>
      <c r="I115" s="66"/>
      <c r="J115" s="76"/>
      <c r="K115" s="76"/>
      <c r="L115" s="76"/>
    </row>
    <row r="116" spans="1:45" ht="16.2" thickBot="1" x14ac:dyDescent="0.35"/>
    <row r="117" spans="1:45" ht="34.799999999999997" x14ac:dyDescent="0.45">
      <c r="A117" s="176" t="str">
        <f>CONCATENATE("Plan ",MasterMenu!I$1)</f>
        <v>Plan 5</v>
      </c>
      <c r="B117" s="493" t="str">
        <f>+MasterMenu!I2</f>
        <v>HSA $1700</v>
      </c>
      <c r="C117" s="494"/>
      <c r="D117" s="494"/>
      <c r="E117" s="494"/>
      <c r="F117" s="494"/>
      <c r="G117" s="494"/>
      <c r="H117" s="135" t="s">
        <v>81</v>
      </c>
      <c r="I117" s="136" t="s">
        <v>82</v>
      </c>
      <c r="J117" s="5" t="s">
        <v>100</v>
      </c>
      <c r="K117" s="5"/>
      <c r="L117" s="158" t="s">
        <v>98</v>
      </c>
    </row>
    <row r="118" spans="1:45" x14ac:dyDescent="0.3">
      <c r="A118" s="109" t="s">
        <v>84</v>
      </c>
      <c r="B118" s="137"/>
      <c r="C118" s="138"/>
      <c r="D118" s="138"/>
      <c r="E118" s="138"/>
      <c r="F118" s="138"/>
      <c r="G118" s="138"/>
      <c r="H118" s="138"/>
      <c r="I118" s="139"/>
      <c r="N118" s="63"/>
    </row>
    <row r="119" spans="1:45" x14ac:dyDescent="0.3">
      <c r="A119" s="4" t="s">
        <v>85</v>
      </c>
      <c r="B119" s="129">
        <f>+MIN(SUMPRODUCT(B$4:B$20,$I$4:$I$20)-EREE*MasterMenu!$I$30,3400)</f>
        <v>0</v>
      </c>
      <c r="C119" s="130">
        <f>+MIN(SUMPRODUCT(C$4:C$20,$I$4:$I$20)-ERSP*MasterMenu!$I$30,3400)</f>
        <v>0</v>
      </c>
      <c r="D119" s="130">
        <f>+MIN(SUMPRODUCT(D$4:D$20,$I$4:$I$20)-_ERC1*MasterMenu!$I$30,3400)</f>
        <v>0</v>
      </c>
      <c r="E119" s="130">
        <f>+MIN(SUMPRODUCT(E$4:E$20,$I$4:$I$20)-_ERC2*MasterMenu!$I$30,3400)</f>
        <v>0</v>
      </c>
      <c r="F119" s="130">
        <f>+MIN(SUMPRODUCT(F$4:F$20,$I$4:$I$20)-_ERC3*MasterMenu!$I$30,3400)</f>
        <v>0</v>
      </c>
      <c r="G119" s="130">
        <f>+MIN(SUMPRODUCT(G$4:G$20,$I$4:$I$20)-_ERC4*MasterMenu!$I$30,3400)</f>
        <v>0</v>
      </c>
      <c r="H119" s="142">
        <f>SUM(B119:G119)</f>
        <v>0</v>
      </c>
      <c r="I119" s="143">
        <f>MIN(MasterMenu!I$22,H119)</f>
        <v>0</v>
      </c>
      <c r="J119" s="159" t="s">
        <v>101</v>
      </c>
      <c r="K119" s="159"/>
      <c r="L119" s="159"/>
      <c r="N119" s="63"/>
    </row>
    <row r="120" spans="1:45" x14ac:dyDescent="0.3">
      <c r="A120" s="4" t="s">
        <v>86</v>
      </c>
      <c r="B120" s="140"/>
      <c r="C120" s="141"/>
      <c r="D120" s="141"/>
      <c r="E120" s="141"/>
      <c r="F120" s="142"/>
      <c r="G120" s="142"/>
      <c r="H120" s="142">
        <f>SUM(B120:G120)</f>
        <v>0</v>
      </c>
      <c r="I120" s="495">
        <f>+MIN(H122,MasterMenu!I$24)</f>
        <v>0</v>
      </c>
      <c r="J120" s="154" t="s">
        <v>99</v>
      </c>
      <c r="K120" s="154"/>
      <c r="L120" s="154"/>
      <c r="N120" s="63"/>
      <c r="AN120">
        <f>+IF(B125&lt;MasterMenu!$H$36,0,IF(AV$25&gt;B125,MIN(AV$25-B125,B$25*$L$25*$O$25,ROUNDUP((AV$25-B125)/$I$25,0)*$O$25),0))</f>
        <v>0</v>
      </c>
      <c r="AO120">
        <f>+IF(C125&lt;MasterMenu!$H$36,0,IF(AW$25&gt;C125,MIN(AW$25-C125,C$25*$L$25*$O$25,ROUNDUP((AW$25-C125)/$I$25,0)*$O$25),0))</f>
        <v>0</v>
      </c>
      <c r="AP120">
        <f>+IF(D125&lt;MasterMenu!$H$36,0,IF(AX$25&gt;D125,MIN(AX$25-D125,D$25*$L$25*$O$25,ROUNDUP((AX$25-D125)/$I$25,0)*$O$25),0))</f>
        <v>0</v>
      </c>
      <c r="AQ120">
        <f>+IF(E125&lt;MasterMenu!$H$36,0,IF(AY$25&gt;E125,MIN(AY$25-E125,E$25*$L$25*$O$25,ROUNDUP((AY$25-E125)/$I$25,0)*$O$25),0))</f>
        <v>0</v>
      </c>
      <c r="AR120">
        <f>+IF(F125&lt;MasterMenu!$H$36,0,IF(AZ$25&gt;F125,MIN(AZ$25-F125,F$25*$L$25*$O$25,ROUNDUP((AZ$25-F125)/$I$25,0)*$O$25),0))</f>
        <v>0</v>
      </c>
      <c r="AS120">
        <f>+IF(G125&lt;MasterMenu!$H$36,0,IF(BA$25&gt;G125,MIN(BA$25-G125,G$25*$L$25*$O$25,ROUNDUP((BA$25-G125)/$I$25,0)*$O$25),0))</f>
        <v>0</v>
      </c>
    </row>
    <row r="121" spans="1:45" x14ac:dyDescent="0.3">
      <c r="A121" s="4" t="s">
        <v>87</v>
      </c>
      <c r="B121" s="140">
        <f>+MAX(0,(SUMPRODUCT(B$4:B$18,$I$4:$I$18)-B119-EREE*MasterMenu!$I$30)*MasterMenu!$I$28)</f>
        <v>0</v>
      </c>
      <c r="C121" s="141">
        <f>+MAX(0,(SUMPRODUCT(C$4:C$18,$I$4:$I$18)-C119-ERSP*MasterMenu!$I$30)*MasterMenu!$I$28)</f>
        <v>0</v>
      </c>
      <c r="D121" s="141">
        <f>+MAX(0,(SUMPRODUCT(D$4:D$18,$I$4:$I$18)-D119-_ERC1*MasterMenu!$I$30)*MasterMenu!$I$28)</f>
        <v>0</v>
      </c>
      <c r="E121" s="141">
        <f>+MAX(0,(SUMPRODUCT(E$4:E$18,$I$4:$I$18)-E119-_ERC2*MasterMenu!$I$30)*MasterMenu!$I$28)</f>
        <v>0</v>
      </c>
      <c r="F121" s="141">
        <f>+MAX(0,(SUMPRODUCT(F$4:F$18,$I$4:$I$18)-F119-_ERC3*MasterMenu!$I$30)*MasterMenu!$I$28)</f>
        <v>0</v>
      </c>
      <c r="G121" s="141">
        <f>+MAX(0,(SUMPRODUCT(G$4:G$18,$I$4:$I$18)-G119-_ERC4*MasterMenu!$I$30)*MasterMenu!$I$28)</f>
        <v>0</v>
      </c>
      <c r="H121" s="142">
        <f>SUM(B121:G121)</f>
        <v>0</v>
      </c>
      <c r="I121" s="495"/>
      <c r="N121" s="63"/>
      <c r="AN121">
        <f>+IF(B125&lt;MasterMenu!$H$36,0,IF(AV$26&gt;B125,MIN(AV$26-B125,B$26*$L$26*$O$26,ROUNDUP((AV$26-B125)/$I$26,0)*$O$26),0))</f>
        <v>0</v>
      </c>
      <c r="AO121">
        <f>+IF(C125&lt;MasterMenu!$H$36,0,IF(AW$26&gt;C125,MIN(AW$26-C125,C$26*$L$26*$O$26,ROUNDUP((AW$26-C125)/$I$26,0)*$O$26),0))</f>
        <v>0</v>
      </c>
      <c r="AP121">
        <f>+IF(D125&lt;MasterMenu!$H$36,0,IF(AX$26&gt;D125,MIN(AX$26-D125,D$26*$L$26*$O$26,ROUNDUP((AX$26-D125)/$I$26,0)*$O$26),0))</f>
        <v>0</v>
      </c>
      <c r="AQ121">
        <f>+IF(E125&lt;MasterMenu!$H$36,0,IF(AY$26&gt;E125,MIN(AY$26-E125,E$26*$L$26*$O$26,ROUNDUP((AY$26-E125)/$I$26,0)*$O$26),0))</f>
        <v>0</v>
      </c>
      <c r="AR121">
        <f>+IF(F125&lt;MasterMenu!$H$36,0,IF(AZ$26&gt;F125,MIN(AZ$26-F125,F$26*$L$26*$O$26,ROUNDUP((AZ$26-F125)/$I$26,0)*$O$26),0))</f>
        <v>0</v>
      </c>
      <c r="AS121">
        <f>+IF(G125&lt;MasterMenu!$H$36,0,IF(BA$26&gt;G125,MIN(BA$26-G125,G$26*$L$26*$O$26,ROUNDUP((BA$26-G125)/$I$26,0)*$O$26),0))</f>
        <v>0</v>
      </c>
    </row>
    <row r="122" spans="1:45" x14ac:dyDescent="0.3">
      <c r="A122" s="204" t="s">
        <v>88</v>
      </c>
      <c r="B122" s="140">
        <f>+MIN((+B121+B120),MasterMenu!$I$19-B119)</f>
        <v>0</v>
      </c>
      <c r="C122" s="141">
        <f>+MIN((+C121+C120),MasterMenu!$I$19-C119)</f>
        <v>0</v>
      </c>
      <c r="D122" s="141">
        <f>+MIN((+D121+D120),MasterMenu!$I$19-D119)</f>
        <v>0</v>
      </c>
      <c r="E122" s="141">
        <f>+MIN((+E121+E120),MasterMenu!$I$19-E119)</f>
        <v>0</v>
      </c>
      <c r="F122" s="141">
        <f>+MIN((+F121+F120),MasterMenu!$I$19-F119)</f>
        <v>0</v>
      </c>
      <c r="G122" s="141">
        <f>+MIN((+G121+G120),MasterMenu!$I$19-G119)</f>
        <v>0</v>
      </c>
      <c r="H122" s="142">
        <f>SUM(B122:G122)</f>
        <v>0</v>
      </c>
      <c r="I122" s="495"/>
      <c r="AN122">
        <f>+IF(B125&lt;MasterMenu!$H$36,0,IF(AV$27&gt;B125,MIN(AV$27-B125,B$27*$L$27*$O$27,ROUNDUP((AV$27-B125)/$I$27,0)*$O$27),0))</f>
        <v>0</v>
      </c>
      <c r="AO122">
        <f>+IF(C125&lt;MasterMenu!$H$36,0,IF(AW$27&gt;C125,MIN(AW$27-C125,C$27*$L$27*$O$27,ROUNDUP((AW$27-C125)/$I$27,0)*$O$27),0))</f>
        <v>0</v>
      </c>
      <c r="AP122">
        <f>+IF(D125&lt;MasterMenu!$H$36,0,IF(AX$27&gt;D125,MIN(AX$27-D125,D$27*$L$27*$O$27,ROUNDUP((AX$27-D125)/$I$27,0)*$O$27),0))</f>
        <v>0</v>
      </c>
      <c r="AQ122">
        <f>+IF(E125&lt;MasterMenu!$H$36,0,IF(AY$27&gt;E125,MIN(AY$27-E125,E$27*$L$27*$O$27,ROUNDUP((AY$27-E125)/$I$27,0)*$O$27),0))</f>
        <v>0</v>
      </c>
      <c r="AR122">
        <f>+IF(F125&lt;MasterMenu!$H$36,0,IF(AZ$27&gt;F125,MIN(AZ$27-F125,F$27*$L$27*$O$27,ROUNDUP((AZ$27-F125)/$I$27,0)*$O$27),0))</f>
        <v>0</v>
      </c>
      <c r="AS122">
        <f>+IF(G125&lt;MasterMenu!$H$36,0,IF(BA$27&gt;G125,MIN(BA$27-G125,G$27*$L$27*$O$27,ROUNDUP((BA$27-G125)/$I$27,0)*$O$27),0))</f>
        <v>0</v>
      </c>
    </row>
    <row r="123" spans="1:45" ht="16.2" thickBot="1" x14ac:dyDescent="0.35">
      <c r="A123" s="204" t="s">
        <v>89</v>
      </c>
      <c r="B123" s="140">
        <f>+MIN((B122+B119),MasterMenu!$I$19)</f>
        <v>0</v>
      </c>
      <c r="C123" s="141">
        <f>+MIN((C122+C119),MasterMenu!$I$19)</f>
        <v>0</v>
      </c>
      <c r="D123" s="141">
        <f>+MIN((D122+D119),MasterMenu!$I$19)</f>
        <v>0</v>
      </c>
      <c r="E123" s="141">
        <f>+MIN((E122+E119),MasterMenu!$I$19)</f>
        <v>0</v>
      </c>
      <c r="F123" s="141">
        <f>+MIN((F122+F119),MasterMenu!$I$19)</f>
        <v>0</v>
      </c>
      <c r="G123" s="141">
        <f>+MIN((G122+G119),MasterMenu!$I$19)</f>
        <v>0</v>
      </c>
      <c r="H123" s="142">
        <f>SUM(B123:G123)</f>
        <v>0</v>
      </c>
      <c r="I123" s="143">
        <f>+MIN((I119+I120),MasterMenu!I$20,H123)</f>
        <v>0</v>
      </c>
      <c r="AN123">
        <f>+IF(B125&lt;MasterMenu!$H$36,0,IF(AV$28&gt;B125,MIN(AV$28-B125,B$28*$L$28*$O$28,ROUNDUP((AV$28-B125)/$I$28,0)*$O$28),0))</f>
        <v>0</v>
      </c>
      <c r="AO123">
        <f>+IF(C125&lt;MasterMenu!$H$36,0,IF(AW$28&gt;C125,MIN(AW$28-C125,C$28*$L$28*$O$28,ROUNDUP((AW$28-C125)/$I$28,0)*$O$28),0))</f>
        <v>0</v>
      </c>
      <c r="AP123">
        <f>+IF(D125&lt;MasterMenu!$H$36,0,IF(AX$28&gt;D125,MIN(AX$28-D125,D$28*$L$28*$O$28,ROUNDUP((AX$28-D125)/$I$28,0)*$O$28),0))</f>
        <v>0</v>
      </c>
      <c r="AQ123">
        <f>+IF(E125&lt;MasterMenu!$H$36,0,IF(AY$28&gt;E125,MIN(AY$28-E125,E$28*$L$28*$O$28,ROUNDUP((AY$28-E125)/$I$28,0)*$O$28),0))</f>
        <v>0</v>
      </c>
      <c r="AR123">
        <f>+IF(F125&lt;MasterMenu!$H$36,0,IF(AZ$28&gt;F125,MIN(AZ$28-F125,F$28*$L$28*$O$28,ROUNDUP((AZ$28-F125)/$I$28,0)*$O$28),0))</f>
        <v>0</v>
      </c>
      <c r="AS123">
        <f>+IF(G125&lt;MasterMenu!$H$36,0,IF(BA$28&gt;G125,MIN(BA$28-G125,G$28*$L$28*$O$28,ROUNDUP((BA$28-F125)/$I$28,0)*$O$28),0))</f>
        <v>0</v>
      </c>
    </row>
    <row r="124" spans="1:45" x14ac:dyDescent="0.3">
      <c r="A124" s="109" t="s">
        <v>90</v>
      </c>
      <c r="B124" s="496"/>
      <c r="C124" s="497"/>
      <c r="D124" s="497"/>
      <c r="E124" s="497"/>
      <c r="F124" s="497"/>
      <c r="G124" s="497"/>
      <c r="H124" s="497"/>
      <c r="I124" s="498"/>
      <c r="AN124">
        <f>+IF(B125&lt;MasterMenu!$H$36,0,IF(AV$29&gt;B125,MIN(AV$29-B125,B$29*$L$29*$O$29,ROUNDUP((AV$29-B125)/$I$29,0)*$O$29),0))</f>
        <v>0</v>
      </c>
      <c r="AO124">
        <f>+IF(C125&lt;MasterMenu!$H$36,0,IF(AW$29&gt;C125,MIN(AW$29-C125,C$29*$L$29*$O$29,ROUNDUP((AW$29-C$41)/$I$29,0)*$O$29),0))</f>
        <v>0</v>
      </c>
      <c r="AP124">
        <f>+IF(D125&lt;MasterMenu!$H$36,0,IF(AX$29&gt;D125,MIN(AX$29-D125,D$29*$L$29*$O$29,ROUNDUP((AX$29-D125)/$I$29,0)*$O$29),0))</f>
        <v>0</v>
      </c>
      <c r="AQ124">
        <f>+IF(E125&lt;MasterMenu!$H$36,0,IF(AY$29&gt;E125,MIN(AY$29-E125,E$29*$L$29*$O$29,ROUNDUP((AY$29-E125)/$I$29,0)*$O$29),0))</f>
        <v>0</v>
      </c>
      <c r="AR124">
        <f>+IF(F125&lt;MasterMenu!$H$36,0,IF(AZ$29&gt;F125,MIN(AZ$29-F125,F$29*$L$29*$O$29,ROUNDUP((AZ$29-F125)/$I$29,0)*$O$29),0))</f>
        <v>0</v>
      </c>
      <c r="AS124">
        <f>+IF(G125&lt;MasterMenu!$H$36,0,IF(BA$29&gt;G125,MIN(BA$29-G125,G$29*$L$29*$O$29,ROUNDUP((BA$29-G125)/$I$29,0)*$O$29),0))</f>
        <v>0</v>
      </c>
    </row>
    <row r="125" spans="1:45" x14ac:dyDescent="0.3">
      <c r="A125" s="4" t="s">
        <v>85</v>
      </c>
      <c r="B125" s="129">
        <f>+MIN(3400-B119,(AN$32))</f>
        <v>0</v>
      </c>
      <c r="C125" s="131">
        <f>+MIN(3400-C119,(AO$32))</f>
        <v>0</v>
      </c>
      <c r="D125" s="131">
        <f>+MIN(3400-D119,(AP$32))</f>
        <v>0</v>
      </c>
      <c r="E125" s="131">
        <f>+MIN(3400-E119,(AQ$32))</f>
        <v>0</v>
      </c>
      <c r="F125" s="131">
        <f>+MIN(3400-F119,(AR$32))</f>
        <v>0</v>
      </c>
      <c r="G125" s="131">
        <f>+MIN(3400-G119,(AS$32))</f>
        <v>0</v>
      </c>
      <c r="H125" s="132">
        <f>SUM(B125:G125)</f>
        <v>0</v>
      </c>
      <c r="I125" s="499">
        <f>+MIN(MasterMenu!$I$35,H127)</f>
        <v>0</v>
      </c>
      <c r="J125" s="5" t="s">
        <v>101</v>
      </c>
      <c r="K125" s="5"/>
      <c r="L125" s="5"/>
      <c r="AN125">
        <f>+IF(B125&lt;MasterMenu!$H$36,0,IF(AV$30&gt;B125,MIN(AV$30-B125,B$30*$L$30*$O$30,ROUNDUP((AV$30-B125)/$I$30,0)*$O$30),0))</f>
        <v>0</v>
      </c>
      <c r="AO125">
        <f>+IF(C125&lt;MasterMenu!$H$36,0,IF(AW$30&gt;C125,MIN(AW$30-C125,C$30*$L$30*$O$30,ROUNDUP((AW$30-C125)/$I$30,0)*$O$30),0))</f>
        <v>0</v>
      </c>
      <c r="AP125">
        <f>+IF(D125&lt;MasterMenu!$H$36,0,IF(AX$30&gt;D125,MIN(AX$30-D125,D$30*$L$30*$O$30,ROUNDUP((AX$30-D125)/$I$30,0)*$O$30),0))</f>
        <v>0</v>
      </c>
      <c r="AQ125">
        <f>+IF(E125&lt;MasterMenu!$H$36,0,IF(AY$30&gt;E125,MIN(AY$30-E125,E$30*$L$30*$O$30,ROUNDUP((AY$30-E125)/$I$30,0)*$O$30),0))</f>
        <v>0</v>
      </c>
      <c r="AR125">
        <f>+IF(F125&lt;MasterMenu!$H$36,0,IF(AZ$30&gt;F125,MIN(AZ$30-F125,F$30*$L$30*$O$30,ROUNDUP((AZ$30-F125)/$I$30,0)*$O$30),0))</f>
        <v>0</v>
      </c>
      <c r="AS125">
        <f>+IF(G125&lt;MasterMenu!$H$36,0,IF(BA$30&gt;G125,MIN(BA$30-G125,G$30*$L$30*$O$30,ROUNDUP((BA$30-G125)/$I$30,0)*$O$30),0))</f>
        <v>0</v>
      </c>
    </row>
    <row r="126" spans="1:45" x14ac:dyDescent="0.3">
      <c r="A126" s="4" t="s">
        <v>86</v>
      </c>
      <c r="B126" s="140">
        <f>+IF(B125=0,AF$32,AN127)</f>
        <v>0</v>
      </c>
      <c r="C126" s="142">
        <f>+IF(C125=0,AG$32,AO127)</f>
        <v>0</v>
      </c>
      <c r="D126" s="142">
        <f>+IF(D125=0,AH$32,AP127)</f>
        <v>0</v>
      </c>
      <c r="E126" s="142">
        <f>+IF(E125=0,AI$32,AQ127)</f>
        <v>0</v>
      </c>
      <c r="F126" s="142">
        <f>+IF(F125=0,AJ$32,AR127)</f>
        <v>0</v>
      </c>
      <c r="G126" s="142">
        <f>+IF(G125=0,AK$32,AS127)</f>
        <v>0</v>
      </c>
      <c r="H126" s="142">
        <f t="shared" ref="H126:H127" si="58">SUM(B126:G126)</f>
        <v>0</v>
      </c>
      <c r="I126" s="500"/>
      <c r="S126" s="133"/>
      <c r="AN126">
        <f>+IF(B125&lt;MasterMenu!$H$36,0,IF(AV$31&gt;B125,MIN(AV$31-B125,B$31*$L$31*$O$31,ROUNDUP((AV$31-B125)/$I$31,0)*$O$31),0))</f>
        <v>0</v>
      </c>
      <c r="AO126">
        <f>+IF(C125&lt;MasterMenu!$H$36,0,IF(AW$31&gt;C125,MIN(AW$31-C125,C$31*$L$31*$O$31,ROUNDUP((AW$31-C125)/$I$31,0)*$O$31),0))</f>
        <v>0</v>
      </c>
      <c r="AP126">
        <f>+IF(D125&lt;MasterMenu!$H$36,0,IF(AX$31&gt;D125,MIN(AX$31-D125,D$31*$L$31*$O$31,ROUNDUP((AX$31-D125)/$I$31,0)*$O$31),0))</f>
        <v>0</v>
      </c>
      <c r="AQ126">
        <f>+IF(E125&lt;MasterMenu!$H$36,0,IF(AY$31&gt;E125,MIN(AY$31-E125,E$31*$L$31*$O$31,ROUNDUP((AY$31-E125)/$I$31,0)*$O$31),0))</f>
        <v>0</v>
      </c>
      <c r="AR126">
        <f>+IF(F125&lt;MasterMenu!$H$36,0,IF(AZ$31&gt;F125,MIN(AZ$31-F125,F$31*$L$31*$O$31,ROUNDUP((AZ$31-F125)/$I$31,0)*$O$31),0))</f>
        <v>0</v>
      </c>
      <c r="AS126">
        <f>+IF(G125&lt;MasterMenu!$H$36,0,IF(BA$31&gt;G125,MIN(BA$31-G125,G$31*$L$31*$O$31,ROUNDUP((BA$31-G125)/$I$31,0)*$O$31),0))</f>
        <v>0</v>
      </c>
    </row>
    <row r="127" spans="1:45" ht="16.2" thickBot="1" x14ac:dyDescent="0.35">
      <c r="A127" s="204" t="s">
        <v>89</v>
      </c>
      <c r="B127" s="161">
        <f>+MAX(0,MIN(MasterMenu!$I$34,B126+B125))</f>
        <v>0</v>
      </c>
      <c r="C127" s="163">
        <f>+MAX(0,MIN(MasterMenu!$I$34,C126+C125))</f>
        <v>0</v>
      </c>
      <c r="D127" s="163">
        <f>+MAX(0,MIN(MasterMenu!$I$34,D126+D125))</f>
        <v>0</v>
      </c>
      <c r="E127" s="163">
        <f>+MAX(0,MIN(MasterMenu!$I$34,E126+E125))</f>
        <v>0</v>
      </c>
      <c r="F127" s="163">
        <f>+MAX(0,MIN(MasterMenu!$I$34,F126+F125))</f>
        <v>0</v>
      </c>
      <c r="G127" s="163">
        <f>+MAX(0,MIN(MasterMenu!$I$34,G126+G125))</f>
        <v>0</v>
      </c>
      <c r="H127" s="163">
        <f t="shared" si="58"/>
        <v>0</v>
      </c>
      <c r="I127" s="501"/>
      <c r="AN127">
        <f>SUM(AN120:AN126)</f>
        <v>0</v>
      </c>
      <c r="AO127">
        <f t="shared" ref="AO127:AS127" si="59">SUM(AO120:AO126)</f>
        <v>0</v>
      </c>
      <c r="AP127">
        <f t="shared" si="59"/>
        <v>0</v>
      </c>
      <c r="AQ127">
        <f t="shared" si="59"/>
        <v>0</v>
      </c>
      <c r="AR127">
        <f t="shared" si="59"/>
        <v>0</v>
      </c>
      <c r="AS127">
        <f t="shared" si="59"/>
        <v>0</v>
      </c>
    </row>
    <row r="128" spans="1:45" ht="16.2" thickBot="1" x14ac:dyDescent="0.35">
      <c r="A128" s="109" t="s">
        <v>89</v>
      </c>
      <c r="B128" s="164">
        <f>+MIN(B127+B123,MasterMenu!$I$19)</f>
        <v>0</v>
      </c>
      <c r="C128" s="165">
        <f>+MIN(C127+C123,MasterMenu!$I$19)</f>
        <v>0</v>
      </c>
      <c r="D128" s="165">
        <f>+MIN(D127+D123,MasterMenu!$I$19)</f>
        <v>0</v>
      </c>
      <c r="E128" s="165">
        <f>+MIN(E127+E123,MasterMenu!$I$19)</f>
        <v>0</v>
      </c>
      <c r="F128" s="165">
        <f>+MIN(F127+F123,MasterMenu!$I$19)</f>
        <v>0</v>
      </c>
      <c r="G128" s="165">
        <f>+MIN(G127+G123,MasterMenu!$I$19)</f>
        <v>0</v>
      </c>
      <c r="H128" s="166">
        <f>SUM(B128:G128)</f>
        <v>0</v>
      </c>
      <c r="I128" s="160">
        <f>+MIN(H128,MasterMenu!$I$20)</f>
        <v>0</v>
      </c>
    </row>
    <row r="129" spans="1:45" x14ac:dyDescent="0.3">
      <c r="A129" s="109"/>
      <c r="B129" s="144"/>
      <c r="C129" s="145"/>
      <c r="D129" s="145"/>
      <c r="E129" s="145"/>
      <c r="F129" s="145"/>
      <c r="G129" s="144"/>
      <c r="H129" s="148" t="s">
        <v>91</v>
      </c>
      <c r="I129" s="167">
        <f>+Totalmedcosts+TotalRXCost</f>
        <v>0</v>
      </c>
    </row>
    <row r="130" spans="1:45" x14ac:dyDescent="0.3">
      <c r="A130" s="109"/>
      <c r="B130" s="144"/>
      <c r="C130" s="145"/>
      <c r="D130" s="145"/>
      <c r="E130" s="145"/>
      <c r="F130" s="145"/>
      <c r="G130" s="144"/>
      <c r="H130" s="148" t="s">
        <v>92</v>
      </c>
      <c r="I130" s="168">
        <f>+MIN(MasterMenu!I$20,I128)</f>
        <v>0</v>
      </c>
      <c r="J130" s="158">
        <f>MasterMenu!I$20</f>
        <v>6800</v>
      </c>
      <c r="M130" t="str">
        <f>+IF(I130&gt;J130,"Error","ok")</f>
        <v>ok</v>
      </c>
    </row>
    <row r="131" spans="1:45" ht="16.2" thickBot="1" x14ac:dyDescent="0.35">
      <c r="A131" s="109"/>
      <c r="B131" s="149"/>
      <c r="C131" s="150"/>
      <c r="D131" s="150"/>
      <c r="E131" s="150"/>
      <c r="F131" s="150"/>
      <c r="G131" s="149"/>
      <c r="H131" s="151" t="s">
        <v>93</v>
      </c>
      <c r="I131" s="169">
        <f>+I129-I130</f>
        <v>0</v>
      </c>
    </row>
    <row r="132" spans="1:45" x14ac:dyDescent="0.3">
      <c r="A132" s="109"/>
      <c r="B132" s="66"/>
      <c r="C132" s="66"/>
      <c r="D132" s="66"/>
      <c r="E132" s="66"/>
      <c r="F132" s="66"/>
      <c r="G132" s="66"/>
      <c r="H132" s="185"/>
      <c r="I132" s="66"/>
      <c r="J132" s="76"/>
      <c r="K132" s="76"/>
      <c r="L132" s="76"/>
    </row>
    <row r="133" spans="1:45" ht="16.2" thickBot="1" x14ac:dyDescent="0.35"/>
    <row r="134" spans="1:45" ht="34.799999999999997" x14ac:dyDescent="0.45">
      <c r="A134" s="176" t="str">
        <f>CONCATENATE("Plan ",MasterMenu!J$1)</f>
        <v>Plan 6</v>
      </c>
      <c r="B134" s="493" t="str">
        <f>+MasterMenu!J2</f>
        <v>HSA $5000</v>
      </c>
      <c r="C134" s="494"/>
      <c r="D134" s="494"/>
      <c r="E134" s="494"/>
      <c r="F134" s="494"/>
      <c r="G134" s="494"/>
      <c r="H134" s="135" t="s">
        <v>81</v>
      </c>
      <c r="I134" s="136" t="s">
        <v>82</v>
      </c>
      <c r="J134" s="158" t="s">
        <v>102</v>
      </c>
    </row>
    <row r="135" spans="1:45" x14ac:dyDescent="0.3">
      <c r="A135" s="109" t="s">
        <v>84</v>
      </c>
      <c r="B135" s="137"/>
      <c r="C135" s="138"/>
      <c r="D135" s="138"/>
      <c r="E135" s="138"/>
      <c r="F135" s="138"/>
      <c r="G135" s="138"/>
      <c r="H135" s="138"/>
      <c r="I135" s="139"/>
      <c r="N135" s="63"/>
    </row>
    <row r="136" spans="1:45" x14ac:dyDescent="0.3">
      <c r="A136" s="4" t="s">
        <v>85</v>
      </c>
      <c r="B136" s="140">
        <f>+MIN(SUMPRODUCT(B$4:B$20,$I$4:$I$20)-EREE*MasterMenu!$J$30,MasterMenu!$J$21)</f>
        <v>0</v>
      </c>
      <c r="C136" s="142">
        <f>+MIN(SUMPRODUCT(C$4:C$20,$I$4:$I$20)-ERSP*MasterMenu!$J$30,MasterMenu!$J$21)</f>
        <v>0</v>
      </c>
      <c r="D136" s="142">
        <f>+MIN(SUMPRODUCT(D$4:D$20,$I$4:$I$20)-_ERC1*MasterMenu!$J$30,MasterMenu!$J$21)</f>
        <v>0</v>
      </c>
      <c r="E136" s="142">
        <f>+MIN(SUMPRODUCT(E$4:E$20,$I$4:$I$20)-_ERC2*MasterMenu!$J$30,MasterMenu!$J$21)</f>
        <v>0</v>
      </c>
      <c r="F136" s="142">
        <f>+MIN(SUMPRODUCT(F$4:F$20,$I$4:$I$20)-_ERC3*MasterMenu!$J$30,MasterMenu!$J$21)</f>
        <v>0</v>
      </c>
      <c r="G136" s="142">
        <f>+MIN(SUMPRODUCT(G$4:G$20,$I$4:$I$20)-_ERC4*MasterMenu!$J$30,MasterMenu!$J$21)</f>
        <v>0</v>
      </c>
      <c r="H136" s="142">
        <f>SUM(B136:G136)</f>
        <v>0</v>
      </c>
      <c r="I136" s="143">
        <f>MIN(MasterMenu!J$22,H136)</f>
        <v>0</v>
      </c>
      <c r="N136" s="63"/>
    </row>
    <row r="137" spans="1:45" x14ac:dyDescent="0.3">
      <c r="A137" s="4" t="s">
        <v>86</v>
      </c>
      <c r="B137" s="140"/>
      <c r="C137" s="141"/>
      <c r="D137" s="141"/>
      <c r="E137" s="141"/>
      <c r="F137" s="142"/>
      <c r="G137" s="141"/>
      <c r="H137" s="142">
        <f>SUM(B137:G137)</f>
        <v>0</v>
      </c>
      <c r="I137" s="495">
        <f>+MIN(H139,MasterMenu!J$24)</f>
        <v>0</v>
      </c>
      <c r="J137" s="154" t="s">
        <v>99</v>
      </c>
      <c r="K137" s="154"/>
      <c r="L137" s="154"/>
      <c r="N137" s="63"/>
      <c r="AN137">
        <f>+IF(B142&lt;MasterMenu!$H$36,0,IF(AV$25&gt;B142,MIN(AV$25-B142,B$25*$L$25*$O$25,ROUNDUP((AV$25-B142)/$I$25,0)*$O$25),0))</f>
        <v>0</v>
      </c>
      <c r="AO137">
        <f>+IF(C142&lt;MasterMenu!$H$36,0,IF(AW$25&gt;C142,MIN(AW$25-C142,C$25*$L$25*$O$25,ROUNDUP((AW$25-C142)/$I$25,0)*$O$25),0))</f>
        <v>0</v>
      </c>
      <c r="AP137">
        <f>+IF(D142&lt;MasterMenu!$H$36,0,IF(AX$25&gt;D142,MIN(AX$25-D142,D$25*$L$25*$O$25,ROUNDUP((AX$25-D142)/$I$25,0)*$O$25),0))</f>
        <v>0</v>
      </c>
      <c r="AQ137">
        <f>+IF(E142&lt;MasterMenu!$H$36,0,IF(AY$25&gt;E142,MIN(AY$25-E142,E$25*$L$25*$O$25,ROUNDUP((AY$25-E142)/$I$25,0)*$O$25),0))</f>
        <v>0</v>
      </c>
      <c r="AR137">
        <f>+IF(F142&lt;MasterMenu!$H$36,0,IF(AZ$25&gt;F142,MIN(AZ$25-F142,F$25*$L$25*$O$25,ROUNDUP((AZ$25-F142)/$I$25,0)*$O$25),0))</f>
        <v>0</v>
      </c>
      <c r="AS137">
        <f>+IF(G142&lt;MasterMenu!$H$36,0,IF(BA$25&gt;G142,MIN(BA$25-G142,G$25*$L$25*$O$25,ROUNDUP((BA$25-G142)/$I$25,0)*$O$25),0))</f>
        <v>0</v>
      </c>
    </row>
    <row r="138" spans="1:45" x14ac:dyDescent="0.3">
      <c r="A138" s="4" t="s">
        <v>87</v>
      </c>
      <c r="B138" s="140">
        <f>++MAX(0,(SUMPRODUCT(B$4:B$18,$I$4:$I$18)-B136-EREE*MasterMenu!$J$30)*MasterMenu!$J$28)</f>
        <v>0</v>
      </c>
      <c r="C138" s="141">
        <f>++MAX(0,(SUMPRODUCT(C$4:C$18,$I$4:$I$18)-C136-ERSP*MasterMenu!$J$30)*MasterMenu!$J$28)</f>
        <v>0</v>
      </c>
      <c r="D138" s="141">
        <f>++MAX(0,(SUMPRODUCT(D$4:D$18,$I$4:$I$18)-D136-_ERC1*MasterMenu!$J$30)*MasterMenu!$J$28)</f>
        <v>0</v>
      </c>
      <c r="E138" s="141">
        <f>++MAX(0,(SUMPRODUCT(E$4:E$18,$I$4:$I$18)-E136-_ERC2*MasterMenu!$J$30)*MasterMenu!$J$28)</f>
        <v>0</v>
      </c>
      <c r="F138" s="141">
        <f>++MAX(0,(SUMPRODUCT(F$4:F$18,$I$4:$I$18)-F136-_ERC3*MasterMenu!$J$30)*MasterMenu!$J$28)</f>
        <v>0</v>
      </c>
      <c r="G138" s="141">
        <f>++MAX(0,(SUMPRODUCT(G$4:G$18,$I$4:$I$18)-G136-_ERC4*MasterMenu!$J$30)*MasterMenu!$J$28)</f>
        <v>0</v>
      </c>
      <c r="H138" s="142">
        <f>SUM(B138:G138)</f>
        <v>0</v>
      </c>
      <c r="I138" s="495"/>
      <c r="N138" s="63"/>
      <c r="AN138">
        <f>+IF(B142&lt;MasterMenu!$H$36,0,IF(AV$26&gt;B142,MIN(AV$26-B142,B$26*$L$26*$O$26,ROUNDUP((AV$26-B142)/$I$26,0)*$O$26),0))</f>
        <v>0</v>
      </c>
      <c r="AO138">
        <f>+IF(C142&lt;MasterMenu!$H$36,0,IF(AW$26&gt;C142,MIN(AW$26-C142,C$26*$L$26*$O$26,ROUNDUP((AW$26-C142)/$I$26,0)*$O$26),0))</f>
        <v>0</v>
      </c>
      <c r="AP138">
        <f>+IF(D142&lt;MasterMenu!$H$36,0,IF(AX$26&gt;D142,MIN(AX$26-D142,D$26*$L$26*$O$26,ROUNDUP((AX$26-D142)/$I$26,0)*$O$26),0))</f>
        <v>0</v>
      </c>
      <c r="AQ138">
        <f>+IF(E142&lt;MasterMenu!$H$36,0,IF(AY$26&gt;E142,MIN(AY$26-E142,E$26*$L$26*$O$26,ROUNDUP((AY$26-E142)/$I$26,0)*$O$26),0))</f>
        <v>0</v>
      </c>
      <c r="AR138">
        <f>+IF(F142&lt;MasterMenu!$H$36,0,IF(AZ$26&gt;F142,MIN(AZ$26-F142,F$26*$L$26*$O$26,ROUNDUP((AZ$26-F142)/$I$26,0)*$O$26),0))</f>
        <v>0</v>
      </c>
      <c r="AS138">
        <f>+IF(G142&lt;MasterMenu!$H$36,0,IF(BA$26&gt;G142,MIN(BA$26-G142,G$26*$L$26*$O$26,ROUNDUP((BA$26-G142)/$I$26,0)*$O$26),0))</f>
        <v>0</v>
      </c>
    </row>
    <row r="139" spans="1:45" x14ac:dyDescent="0.3">
      <c r="A139" s="204" t="s">
        <v>88</v>
      </c>
      <c r="B139" s="140">
        <f>+MIN((+B138+B137),MasterMenu!$J$19-B136)</f>
        <v>0</v>
      </c>
      <c r="C139" s="141">
        <f>+MIN((+C138+C137),MasterMenu!$J$19-C136)</f>
        <v>0</v>
      </c>
      <c r="D139" s="141">
        <f>+MIN((+D138+D137),MasterMenu!$J$19-D136)</f>
        <v>0</v>
      </c>
      <c r="E139" s="141">
        <f>+MIN((+E138+E137),MasterMenu!$J$19-E136)</f>
        <v>0</v>
      </c>
      <c r="F139" s="141">
        <f>+MIN((+F138+F137),MasterMenu!$J$19-F136)</f>
        <v>0</v>
      </c>
      <c r="G139" s="141">
        <f>+MIN((+G138+G137),MasterMenu!$J$19-G136)</f>
        <v>0</v>
      </c>
      <c r="H139" s="142">
        <f>SUM(B139:G139)</f>
        <v>0</v>
      </c>
      <c r="I139" s="495"/>
      <c r="AN139">
        <f>+IF(B142&lt;MasterMenu!$H$36,0,IF(AV$27&gt;B142,MIN(AV$27-B142,B$27*$L$27*$O$27,ROUNDUP((AV$27-B142)/$I$27,0)*$O$27),0))</f>
        <v>0</v>
      </c>
      <c r="AO139">
        <f>+IF(C142&lt;MasterMenu!$H$36,0,IF(AW$27&gt;C142,MIN(AW$27-C142,C$27*$L$27*$O$27,ROUNDUP((AW$27-C142)/$I$27,0)*$O$27),0))</f>
        <v>0</v>
      </c>
      <c r="AP139">
        <f>+IF(D142&lt;MasterMenu!$H$36,0,IF(AX$27&gt;D142,MIN(AX$27-D142,D$27*$L$27*$O$27,ROUNDUP((AX$27-D142)/$I$27,0)*$O$27),0))</f>
        <v>0</v>
      </c>
      <c r="AQ139">
        <f>+IF(E142&lt;MasterMenu!$H$36,0,IF(AY$27&gt;E142,MIN(AY$27-E142,E$27*$L$27*$O$27,ROUNDUP((AY$27-E142)/$I$27,0)*$O$27),0))</f>
        <v>0</v>
      </c>
      <c r="AR139">
        <f>+IF(F142&lt;MasterMenu!$H$36,0,IF(AZ$27&gt;F142,MIN(AZ$27-F142,F$27*$L$27*$O$27,ROUNDUP((AZ$27-F142)/$I$27,0)*$O$27),0))</f>
        <v>0</v>
      </c>
      <c r="AS139">
        <f>+IF(G142&lt;MasterMenu!$H$36,0,IF(BA$27&gt;G142,MIN(BA$27-G142,G$27*$L$27*$O$27,ROUNDUP((BA$27-G142)/$I$27,0)*$O$27),0))</f>
        <v>0</v>
      </c>
    </row>
    <row r="140" spans="1:45" ht="16.2" thickBot="1" x14ac:dyDescent="0.35">
      <c r="A140" s="204" t="s">
        <v>89</v>
      </c>
      <c r="B140" s="140">
        <f>+MIN((B139+B136),MasterMenu!$J$19)</f>
        <v>0</v>
      </c>
      <c r="C140" s="141">
        <f>+MIN((C139+C136),MasterMenu!$J$19)</f>
        <v>0</v>
      </c>
      <c r="D140" s="141">
        <f>+MIN((D139+D136),MasterMenu!$J$19)</f>
        <v>0</v>
      </c>
      <c r="E140" s="141">
        <f>+MIN((E139+E136),MasterMenu!$J$19)</f>
        <v>0</v>
      </c>
      <c r="F140" s="141">
        <f>+MIN((F139+F136),MasterMenu!$J$19)</f>
        <v>0</v>
      </c>
      <c r="G140" s="141">
        <f>+MIN((G139+G136),MasterMenu!$J$19)</f>
        <v>0</v>
      </c>
      <c r="H140" s="142">
        <f>SUM(B140:G140)</f>
        <v>0</v>
      </c>
      <c r="I140" s="143">
        <f>+MIN((I136+I137),MasterMenu!J$20,H140,Totalmedcosts)</f>
        <v>0</v>
      </c>
      <c r="AN140">
        <f>+IF(B142&lt;MasterMenu!$H$36,0,IF(AV$28&gt;B142,MIN(AV$28-B142,B$28*$L$28*$O$28,ROUNDUP((AV$28-B142)/$I$28,0)*$O$28),0))</f>
        <v>0</v>
      </c>
      <c r="AO140">
        <f>+IF(C142&lt;MasterMenu!$H$36,0,IF(AW$28&gt;C142,MIN(AW$28-C142,C$28*$L$28*$O$28,ROUNDUP((AW$28-C142)/$I$28,0)*$O$28),0))</f>
        <v>0</v>
      </c>
      <c r="AP140">
        <f>+IF(D142&lt;MasterMenu!$H$36,0,IF(AX$28&gt;D142,MIN(AX$28-D142,D$28*$L$28*$O$28,ROUNDUP((AX$28-D142)/$I$28,0)*$O$28),0))</f>
        <v>0</v>
      </c>
      <c r="AQ140">
        <f>+IF(E142&lt;MasterMenu!$H$36,0,IF(AY$28&gt;E142,MIN(AY$28-E142,E$28*$L$28*$O$28,ROUNDUP((AY$28-E142)/$I$28,0)*$O$28),0))</f>
        <v>0</v>
      </c>
      <c r="AR140">
        <f>+IF(F142&lt;MasterMenu!$H$36,0,IF(AZ$28&gt;F142,MIN(AZ$28-F142,F$28*$L$28*$O$28,ROUNDUP((AZ$28-F142)/$I$28,0)*$O$28),0))</f>
        <v>0</v>
      </c>
      <c r="AS140">
        <f>+IF(G142&lt;MasterMenu!$H$36,0,IF(BA$28&gt;G142,MIN(BA$28-G142,G$28*$L$28*$O$28,ROUNDUP((BA$28-F142)/$I$28,0)*$O$28),0))</f>
        <v>0</v>
      </c>
    </row>
    <row r="141" spans="1:45" x14ac:dyDescent="0.3">
      <c r="A141" s="109" t="s">
        <v>90</v>
      </c>
      <c r="B141" s="496"/>
      <c r="C141" s="497"/>
      <c r="D141" s="497"/>
      <c r="E141" s="497"/>
      <c r="F141" s="497"/>
      <c r="G141" s="497"/>
      <c r="H141" s="497"/>
      <c r="I141" s="498"/>
      <c r="AN141">
        <f>+IF(B142&lt;MasterMenu!$H$36,0,IF(AV$29&gt;B142,MIN(AV$29-B142,B$29*$L$29*$O$29,ROUNDUP((AV$29-B142)/$I$29,0)*$O$29),0))</f>
        <v>0</v>
      </c>
      <c r="AO141">
        <f>+IF(C142&lt;MasterMenu!$H$36,0,IF(AW$29&gt;C142,MIN(AW$29-C142,C$29*$L$29*$O$29,ROUNDUP((AW$29-C$41)/$I$29,0)*$O$29),0))</f>
        <v>0</v>
      </c>
      <c r="AP141">
        <f>+IF(D142&lt;MasterMenu!$H$36,0,IF(AX$29&gt;D142,MIN(AX$29-D142,D$29*$L$29*$O$29,ROUNDUP((AX$29-D142)/$I$29,0)*$O$29),0))</f>
        <v>0</v>
      </c>
      <c r="AQ141">
        <f>+IF(E142&lt;MasterMenu!$H$36,0,IF(AY$29&gt;E142,MIN(AY$29-E142,E$29*$L$29*$O$29,ROUNDUP((AY$29-E142)/$I$29,0)*$O$29),0))</f>
        <v>0</v>
      </c>
      <c r="AR141">
        <f>+IF(F142&lt;MasterMenu!$H$36,0,IF(AZ$29&gt;F142,MIN(AZ$29-F142,F$29*$L$29*$O$29,ROUNDUP((AZ$29-F142)/$I$29,0)*$O$29),0))</f>
        <v>0</v>
      </c>
      <c r="AS141">
        <f>+IF(G142&lt;MasterMenu!$H$36,0,IF(BA$29&gt;G142,MIN(BA$29-G142,G$29*$L$29*$O$29,ROUNDUP((BA$29-G142)/$I$29,0)*$O$29),0))</f>
        <v>0</v>
      </c>
    </row>
    <row r="142" spans="1:45" x14ac:dyDescent="0.3">
      <c r="A142" s="4" t="s">
        <v>85</v>
      </c>
      <c r="B142" s="140">
        <f>+MIN(MasterMenu!$J$36-B136,(AN$32))</f>
        <v>0</v>
      </c>
      <c r="C142" s="142">
        <f>+MIN(MasterMenu!$J$36-C136,(AO$32))</f>
        <v>0</v>
      </c>
      <c r="D142" s="142">
        <f>+MIN(MasterMenu!$J$36-D136,(AP$32))</f>
        <v>0</v>
      </c>
      <c r="E142" s="142">
        <f>+MIN(MasterMenu!$J$36-E136,(AQ$32))</f>
        <v>0</v>
      </c>
      <c r="F142" s="142">
        <f>+MIN(MasterMenu!$J$36-F136,(AR$32))</f>
        <v>0</v>
      </c>
      <c r="G142" s="142">
        <f>+MIN(MasterMenu!$J$36-G136,(AS$32))</f>
        <v>0</v>
      </c>
      <c r="H142" s="142">
        <f>SUM(B142:G142)</f>
        <v>0</v>
      </c>
      <c r="I142" s="499">
        <f>+MIN(MasterMenu!$J$35,H144)</f>
        <v>0</v>
      </c>
      <c r="AN142">
        <f>+IF(B142&lt;MasterMenu!$H$36,0,IF(AV$30&gt;B142,MIN(AV$30-B142,B$30*$L$30*$O$30,ROUNDUP((AV$30-B142)/$I$30,0)*$O$30),0))</f>
        <v>0</v>
      </c>
      <c r="AO142">
        <f>+IF(C142&lt;MasterMenu!$H$36,0,IF(AW$30&gt;C142,MIN(AW$30-C142,C$30*$L$30*$O$30,ROUNDUP((AW$30-C142)/$I$30,0)*$O$30),0))</f>
        <v>0</v>
      </c>
      <c r="AP142">
        <f>+IF(D142&lt;MasterMenu!$H$36,0,IF(AX$30&gt;D142,MIN(AX$30-D142,D$30*$L$30*$O$30,ROUNDUP((AX$30-D142)/$I$30,0)*$O$30),0))</f>
        <v>0</v>
      </c>
      <c r="AQ142">
        <f>+IF(E142&lt;MasterMenu!$H$36,0,IF(AY$30&gt;E142,MIN(AY$30-E142,E$30*$L$30*$O$30,ROUNDUP((AY$30-E142)/$I$30,0)*$O$30),0))</f>
        <v>0</v>
      </c>
      <c r="AR142">
        <f>+IF(F142&lt;MasterMenu!$H$36,0,IF(AZ$30&gt;F142,MIN(AZ$30-F142,F$30*$L$30*$O$30,ROUNDUP((AZ$30-F142)/$I$30,0)*$O$30),0))</f>
        <v>0</v>
      </c>
      <c r="AS142">
        <f>+IF(G142&lt;MasterMenu!$H$36,0,IF(BA$30&gt;G142,MIN(BA$30-G142,G$30*$L$30*$O$30,ROUNDUP((BA$30-G142)/$I$30,0)*$O$30),0))</f>
        <v>0</v>
      </c>
    </row>
    <row r="143" spans="1:45" x14ac:dyDescent="0.3">
      <c r="A143" s="4" t="s">
        <v>86</v>
      </c>
      <c r="B143" s="140">
        <f t="shared" ref="B143" si="60">+IF(B142=0,AF$32,AN144)</f>
        <v>0</v>
      </c>
      <c r="C143" s="142">
        <f t="shared" ref="C143" si="61">+IF(C142=0,AG$32,AO144)</f>
        <v>0</v>
      </c>
      <c r="D143" s="142">
        <f t="shared" ref="D143" si="62">+IF(D142=0,AH$32,AP144)</f>
        <v>0</v>
      </c>
      <c r="E143" s="142">
        <f t="shared" ref="E143" si="63">+IF(E142=0,AI$32,AQ144)</f>
        <v>0</v>
      </c>
      <c r="F143" s="142">
        <f t="shared" ref="F143" si="64">+IF(F142=0,AJ$32,AR144)</f>
        <v>0</v>
      </c>
      <c r="G143" s="142">
        <f t="shared" ref="G143" si="65">+IF(G142=0,AK$32,AS144)</f>
        <v>0</v>
      </c>
      <c r="H143" s="142">
        <f t="shared" ref="H143:H144" si="66">SUM(B143:G143)</f>
        <v>0</v>
      </c>
      <c r="I143" s="500"/>
      <c r="AN143">
        <f>+IF(B142&lt;MasterMenu!$H$36,0,IF(AV$31&gt;B142,MIN(AV$31-B142,B$31*$L$31*$O$31,ROUNDUP((AV$31-B142)/$I$31,0)*$O$31),0))</f>
        <v>0</v>
      </c>
      <c r="AO143">
        <f>+IF(C142&lt;MasterMenu!$H$36,0,IF(AW$31&gt;C142,MIN(AW$31-C142,C$31*$L$31*$O$31,ROUNDUP((AW$31-C142)/$I$31,0)*$O$31),0))</f>
        <v>0</v>
      </c>
      <c r="AP143">
        <f>+IF(D142&lt;MasterMenu!$H$36,0,IF(AX$31&gt;D142,MIN(AX$31-D142,D$31*$L$31*$O$31,ROUNDUP((AX$31-D142)/$I$31,0)*$O$31),0))</f>
        <v>0</v>
      </c>
      <c r="AQ143">
        <f>+IF(E142&lt;MasterMenu!$H$36,0,IF(AY$31&gt;E142,MIN(AY$31-E142,E$31*$L$31*$O$31,ROUNDUP((AY$31-E142)/$I$31,0)*$O$31),0))</f>
        <v>0</v>
      </c>
      <c r="AR143">
        <f>+IF(F142&lt;MasterMenu!$H$36,0,IF(AZ$31&gt;F142,MIN(AZ$31-F142,F$31*$L$31*$O$31,ROUNDUP((AZ$31-F142)/$I$31,0)*$O$31),0))</f>
        <v>0</v>
      </c>
      <c r="AS143">
        <f>+IF(G142&lt;MasterMenu!$H$36,0,IF(BA$31&gt;G142,MIN(BA$31-G142,G$31*$L$31*$O$31,ROUNDUP((BA$31-G142)/$I$31,0)*$O$31),0))</f>
        <v>0</v>
      </c>
    </row>
    <row r="144" spans="1:45" ht="16.2" thickBot="1" x14ac:dyDescent="0.35">
      <c r="A144" s="204" t="s">
        <v>89</v>
      </c>
      <c r="B144" s="140">
        <f>+MAX(0,MIN(MasterMenu!$J$34,B143+B142))</f>
        <v>0</v>
      </c>
      <c r="C144" s="142">
        <f>+MAX(0,MIN(MasterMenu!$J$34,C143+C142))</f>
        <v>0</v>
      </c>
      <c r="D144" s="142">
        <f>+MAX(0,MIN(MasterMenu!$J$34,D143+D142))</f>
        <v>0</v>
      </c>
      <c r="E144" s="142">
        <f>+MAX(0,MIN(MasterMenu!$J$34,E143+E142))</f>
        <v>0</v>
      </c>
      <c r="F144" s="142">
        <f>+MAX(0,MIN(MasterMenu!$J$34,F143+F142))</f>
        <v>0</v>
      </c>
      <c r="G144" s="142">
        <f>+MAX(0,MIN(MasterMenu!$J$34,G143+G142))</f>
        <v>0</v>
      </c>
      <c r="H144" s="142">
        <f t="shared" si="66"/>
        <v>0</v>
      </c>
      <c r="I144" s="501"/>
      <c r="AN144">
        <f>SUM(AN137:AN143)</f>
        <v>0</v>
      </c>
      <c r="AO144">
        <f t="shared" ref="AO144" si="67">SUM(AO137:AO143)</f>
        <v>0</v>
      </c>
      <c r="AP144">
        <f t="shared" ref="AP144" si="68">SUM(AP137:AP143)</f>
        <v>0</v>
      </c>
      <c r="AQ144">
        <f t="shared" ref="AQ144" si="69">SUM(AQ137:AQ143)</f>
        <v>0</v>
      </c>
      <c r="AR144">
        <f t="shared" ref="AR144" si="70">SUM(AR137:AR143)</f>
        <v>0</v>
      </c>
      <c r="AS144">
        <f t="shared" ref="AS144" si="71">SUM(AS137:AS143)</f>
        <v>0</v>
      </c>
    </row>
    <row r="145" spans="1:45" ht="16.2" thickBot="1" x14ac:dyDescent="0.35">
      <c r="A145" s="109" t="s">
        <v>89</v>
      </c>
      <c r="B145" s="164">
        <f>+MIN(B144+B140,MasterMenu!$J$19)</f>
        <v>0</v>
      </c>
      <c r="C145" s="165">
        <f>+MIN(C144+C140,MasterMenu!$J$19)</f>
        <v>0</v>
      </c>
      <c r="D145" s="165">
        <f>+MIN(D144+D140,MasterMenu!$J$19)</f>
        <v>0</v>
      </c>
      <c r="E145" s="165">
        <f>+MIN(E144+E140,MasterMenu!$J$19)</f>
        <v>0</v>
      </c>
      <c r="F145" s="165">
        <f>+MIN(F144+F140,MasterMenu!$J$19)</f>
        <v>0</v>
      </c>
      <c r="G145" s="165">
        <f>+MIN(G144+G140,MasterMenu!$J$19)</f>
        <v>0</v>
      </c>
      <c r="H145" s="166">
        <f>SUM(B145:G145)</f>
        <v>0</v>
      </c>
      <c r="I145" s="160">
        <f>+MIN(H145,MasterMenu!$J$20)</f>
        <v>0</v>
      </c>
    </row>
    <row r="146" spans="1:45" x14ac:dyDescent="0.3">
      <c r="A146" s="109"/>
      <c r="B146" s="144"/>
      <c r="C146" s="145"/>
      <c r="D146" s="145"/>
      <c r="E146" s="145"/>
      <c r="F146" s="145"/>
      <c r="G146" s="146"/>
      <c r="H146" s="147" t="s">
        <v>91</v>
      </c>
      <c r="I146" s="167">
        <f>+Totalmedcosts+TotalRXCost</f>
        <v>0</v>
      </c>
    </row>
    <row r="147" spans="1:45" x14ac:dyDescent="0.3">
      <c r="A147" s="109"/>
      <c r="B147" s="144"/>
      <c r="C147" s="145"/>
      <c r="D147" s="145"/>
      <c r="E147" s="145"/>
      <c r="F147" s="145"/>
      <c r="G147" s="144"/>
      <c r="H147" s="148" t="s">
        <v>92</v>
      </c>
      <c r="I147" s="168">
        <f>+MIN(MasterMenu!J$20,I145)</f>
        <v>0</v>
      </c>
      <c r="J147" s="158">
        <f>MasterMenu!J$20</f>
        <v>12700</v>
      </c>
      <c r="M147" t="str">
        <f>+IF(I147&gt;J147,"Error","ok")</f>
        <v>ok</v>
      </c>
    </row>
    <row r="148" spans="1:45" ht="16.2" thickBot="1" x14ac:dyDescent="0.35">
      <c r="A148" s="109"/>
      <c r="B148" s="149"/>
      <c r="C148" s="150"/>
      <c r="D148" s="150"/>
      <c r="E148" s="150"/>
      <c r="F148" s="150"/>
      <c r="G148" s="149"/>
      <c r="H148" s="151" t="s">
        <v>93</v>
      </c>
      <c r="I148" s="169">
        <f>+I146-I147</f>
        <v>0</v>
      </c>
    </row>
    <row r="150" spans="1:45" ht="16.2" thickBot="1" x14ac:dyDescent="0.35"/>
    <row r="151" spans="1:45" ht="34.799999999999997" x14ac:dyDescent="0.45">
      <c r="A151" s="176" t="str">
        <f>CONCATENATE("Plan ",MasterMenu!K$1)</f>
        <v>Plan 7</v>
      </c>
      <c r="B151" s="493" t="str">
        <f>MasterMenu!K2</f>
        <v>MEC $9000</v>
      </c>
      <c r="C151" s="494"/>
      <c r="D151" s="494"/>
      <c r="E151" s="494"/>
      <c r="F151" s="494"/>
      <c r="G151" s="494"/>
      <c r="H151" s="135" t="s">
        <v>81</v>
      </c>
      <c r="I151" s="136" t="s">
        <v>82</v>
      </c>
      <c r="J151" s="158" t="s">
        <v>103</v>
      </c>
    </row>
    <row r="152" spans="1:45" x14ac:dyDescent="0.3">
      <c r="A152" s="109" t="s">
        <v>84</v>
      </c>
      <c r="B152" s="137"/>
      <c r="C152" s="138"/>
      <c r="D152" s="138"/>
      <c r="E152" s="138"/>
      <c r="F152" s="138"/>
      <c r="G152" s="138"/>
      <c r="H152" s="138"/>
      <c r="I152" s="139"/>
      <c r="N152" s="63"/>
    </row>
    <row r="153" spans="1:45" x14ac:dyDescent="0.3">
      <c r="A153" s="4" t="s">
        <v>85</v>
      </c>
      <c r="B153" s="140">
        <f>+MIN(SUMPRODUCT(B$4:B$20,$I$4:$I$20)-EREE*MasterMenu!$K$30,MasterMenu!$K$21)</f>
        <v>0</v>
      </c>
      <c r="C153" s="142">
        <f>+MIN(SUMPRODUCT(C$4:C$20,$I$4:$I$20)-ERSP*MasterMenu!$K$30,MasterMenu!$K$21)</f>
        <v>0</v>
      </c>
      <c r="D153" s="142">
        <f>+MIN(SUMPRODUCT(D$4:D$20,$I$4:$I$20)-_ERC1*MasterMenu!$K$30,MasterMenu!$K$21)</f>
        <v>0</v>
      </c>
      <c r="E153" s="142">
        <f>+MIN(SUMPRODUCT(E$4:E$20,$I$4:$I$20)-_ERC2*MasterMenu!$K$30,MasterMenu!$K$21)</f>
        <v>0</v>
      </c>
      <c r="F153" s="142">
        <f>+MIN(SUMPRODUCT(F$4:F$20,$I$4:$I$20)-_ERC3*MasterMenu!$K$30,MasterMenu!$K$21)</f>
        <v>0</v>
      </c>
      <c r="G153" s="142">
        <f>+MIN(SUMPRODUCT(G$4:G$20,$I$4:$I$20)-_ERC4*MasterMenu!$K$30,MasterMenu!$K$21)</f>
        <v>0</v>
      </c>
      <c r="H153" s="142">
        <f>SUM(B153:G153)</f>
        <v>0</v>
      </c>
      <c r="I153" s="143">
        <f>MIN(MasterMenu!K$22,H153)</f>
        <v>0</v>
      </c>
      <c r="N153" s="63"/>
    </row>
    <row r="154" spans="1:45" x14ac:dyDescent="0.3">
      <c r="A154" s="4" t="s">
        <v>86</v>
      </c>
      <c r="B154" s="140"/>
      <c r="C154" s="141"/>
      <c r="D154" s="141"/>
      <c r="E154" s="141"/>
      <c r="F154" s="142"/>
      <c r="G154" s="141"/>
      <c r="H154" s="142">
        <f>SUM(B154:G154)</f>
        <v>0</v>
      </c>
      <c r="I154" s="495">
        <f>+MIN(H156,MasterMenu!K$24)</f>
        <v>0</v>
      </c>
      <c r="J154" s="154" t="s">
        <v>99</v>
      </c>
      <c r="K154" s="154"/>
      <c r="L154" s="154"/>
      <c r="N154" s="63"/>
      <c r="AN154">
        <f>+IF(B159&lt;MasterMenu!$H$36,0,IF(AV$25&gt;B159,MIN(AV$25-B159,B$25*$L$25*$O$25,ROUNDUP((AV$25-B159)/$I$25,0)*$O$25),0))</f>
        <v>0</v>
      </c>
      <c r="AO154">
        <f>+IF(C159&lt;MasterMenu!$H$36,0,IF(AW$25&gt;C159,MIN(AW$25-C159,C$25*$L$25*$O$25,ROUNDUP((AW$25-C159)/$I$25,0)*$O$25),0))</f>
        <v>0</v>
      </c>
      <c r="AP154">
        <f>+IF(D159&lt;MasterMenu!$H$36,0,IF(AX$25&gt;D159,MIN(AX$25-D159,D$25*$L$25*$O$25,ROUNDUP((AX$25-D159)/$I$25,0)*$O$25),0))</f>
        <v>0</v>
      </c>
      <c r="AQ154">
        <f>+IF(E159&lt;MasterMenu!$H$36,0,IF(AY$25&gt;E159,MIN(AY$25-E159,E$25*$L$25*$O$25,ROUNDUP((AY$25-E159)/$I$25,0)*$O$25),0))</f>
        <v>0</v>
      </c>
      <c r="AR154">
        <f>+IF(F159&lt;MasterMenu!$H$36,0,IF(AZ$25&gt;F159,MIN(AZ$25-F159,F$25*$L$25*$O$25,ROUNDUP((AZ$25-F159)/$I$25,0)*$O$25),0))</f>
        <v>0</v>
      </c>
      <c r="AS154">
        <f>+IF(G159&lt;MasterMenu!$H$36,0,IF(BA$25&gt;G159,MIN(BA$25-G159,G$25*$L$25*$O$25,ROUNDUP((BA$25-G159)/$I$25,0)*$O$25),0))</f>
        <v>0</v>
      </c>
    </row>
    <row r="155" spans="1:45" x14ac:dyDescent="0.3">
      <c r="A155" s="4" t="s">
        <v>87</v>
      </c>
      <c r="B155" s="140">
        <f>++MAX(0,(SUMPRODUCT(B$4:B$18,$I$4:$I$18)-B153-EREE*MasterMenu!$K$30)*MasterMenu!$K$28)</f>
        <v>0</v>
      </c>
      <c r="C155" s="141">
        <f>++MAX(0,(SUMPRODUCT(C$4:C$18,$I$4:$I$18)-C153-ERSP*MasterMenu!$K$30)*MasterMenu!$K$28)</f>
        <v>0</v>
      </c>
      <c r="D155" s="141">
        <f>++MAX(0,(SUMPRODUCT(D$4:D$18,$I$4:$I$18)-D153-_ERC1*MasterMenu!$K$30)*MasterMenu!$K$28)</f>
        <v>0</v>
      </c>
      <c r="E155" s="141">
        <f>++MAX(0,(SUMPRODUCT(E$4:E$18,$I$4:$I$18)-E153-_ERC2*MasterMenu!$K$30)*MasterMenu!$K$28)</f>
        <v>0</v>
      </c>
      <c r="F155" s="141">
        <f>++MAX(0,(SUMPRODUCT(F$4:F$18,$I$4:$I$18)-F153-_ERC3*MasterMenu!$K$30)*MasterMenu!$K$28)</f>
        <v>0</v>
      </c>
      <c r="G155" s="141">
        <f>++MAX(0,(SUMPRODUCT(G$4:G$18,$I$4:$I$18)-G153-_ERC4*MasterMenu!$K$30)*MasterMenu!$K$28)</f>
        <v>0</v>
      </c>
      <c r="H155" s="142">
        <f>SUM(B155:G155)</f>
        <v>0</v>
      </c>
      <c r="I155" s="495"/>
      <c r="N155" s="63"/>
      <c r="AN155">
        <f>+IF(B159&lt;MasterMenu!$H$36,0,IF(AV$26&gt;B159,MIN(AV$26-B159,B$26*$L$26*$O$26,ROUNDUP((AV$26-B159)/$I$26,0)*$O$26),0))</f>
        <v>0</v>
      </c>
      <c r="AO155">
        <f>+IF(C159&lt;MasterMenu!$H$36,0,IF(AW$26&gt;C159,MIN(AW$26-C159,C$26*$L$26*$O$26,ROUNDUP((AW$26-C159)/$I$26,0)*$O$26),0))</f>
        <v>0</v>
      </c>
      <c r="AP155">
        <f>+IF(D159&lt;MasterMenu!$H$36,0,IF(AX$26&gt;D159,MIN(AX$26-D159,D$26*$L$26*$O$26,ROUNDUP((AX$26-D159)/$I$26,0)*$O$26),0))</f>
        <v>0</v>
      </c>
      <c r="AQ155">
        <f>+IF(E159&lt;MasterMenu!$H$36,0,IF(AY$26&gt;E159,MIN(AY$26-E159,E$26*$L$26*$O$26,ROUNDUP((AY$26-E159)/$I$26,0)*$O$26),0))</f>
        <v>0</v>
      </c>
      <c r="AR155">
        <f>+IF(F159&lt;MasterMenu!$H$36,0,IF(AZ$26&gt;F159,MIN(AZ$26-F159,F$26*$L$26*$O$26,ROUNDUP((AZ$26-F159)/$I$26,0)*$O$26),0))</f>
        <v>0</v>
      </c>
      <c r="AS155">
        <f>+IF(G159&lt;MasterMenu!$H$36,0,IF(BA$26&gt;G159,MIN(BA$26-G159,G$26*$L$26*$O$26,ROUNDUP((BA$26-G159)/$I$26,0)*$O$26),0))</f>
        <v>0</v>
      </c>
    </row>
    <row r="156" spans="1:45" x14ac:dyDescent="0.3">
      <c r="A156" s="204" t="s">
        <v>88</v>
      </c>
      <c r="B156" s="140">
        <f>+MIN((+B155+B154),MasterMenu!$K$19-B153)</f>
        <v>0</v>
      </c>
      <c r="C156" s="141">
        <f>+MIN((+C155+C154),MasterMenu!$K$19-C153)</f>
        <v>0</v>
      </c>
      <c r="D156" s="141">
        <f>+MIN((+D155+D154),MasterMenu!$K$19-D153)</f>
        <v>0</v>
      </c>
      <c r="E156" s="141">
        <f>+MIN((+E155+E154),MasterMenu!$K$19-E153)</f>
        <v>0</v>
      </c>
      <c r="F156" s="141">
        <f>+MIN((+F155+F154),MasterMenu!$K$19-F153)</f>
        <v>0</v>
      </c>
      <c r="G156" s="141">
        <f>+MIN((+G155+G154),MasterMenu!$K$19-G153)</f>
        <v>0</v>
      </c>
      <c r="H156" s="142">
        <f>SUM(B156:G156)</f>
        <v>0</v>
      </c>
      <c r="I156" s="495"/>
      <c r="AN156">
        <f>+IF(B159&lt;MasterMenu!$H$36,0,IF(AV$27&gt;B159,MIN(AV$27-B159,B$27*$L$27*$O$27,ROUNDUP((AV$27-B159)/$I$27,0)*$O$27),0))</f>
        <v>0</v>
      </c>
      <c r="AO156">
        <f>+IF(C159&lt;MasterMenu!$H$36,0,IF(AW$27&gt;C159,MIN(AW$27-C159,C$27*$L$27*$O$27,ROUNDUP((AW$27-C159)/$I$27,0)*$O$27),0))</f>
        <v>0</v>
      </c>
      <c r="AP156">
        <f>+IF(D159&lt;MasterMenu!$H$36,0,IF(AX$27&gt;D159,MIN(AX$27-D159,D$27*$L$27*$O$27,ROUNDUP((AX$27-D159)/$I$27,0)*$O$27),0))</f>
        <v>0</v>
      </c>
      <c r="AQ156">
        <f>+IF(E159&lt;MasterMenu!$H$36,0,IF(AY$27&gt;E159,MIN(AY$27-E159,E$27*$L$27*$O$27,ROUNDUP((AY$27-E159)/$I$27,0)*$O$27),0))</f>
        <v>0</v>
      </c>
      <c r="AR156">
        <f>+IF(F159&lt;MasterMenu!$H$36,0,IF(AZ$27&gt;F159,MIN(AZ$27-F159,F$27*$L$27*$O$27,ROUNDUP((AZ$27-F159)/$I$27,0)*$O$27),0))</f>
        <v>0</v>
      </c>
      <c r="AS156">
        <f>+IF(G159&lt;MasterMenu!$H$36,0,IF(BA$27&gt;G159,MIN(BA$27-G159,G$27*$L$27*$O$27,ROUNDUP((BA$27-G159)/$I$27,0)*$O$27),0))</f>
        <v>0</v>
      </c>
    </row>
    <row r="157" spans="1:45" ht="16.2" thickBot="1" x14ac:dyDescent="0.35">
      <c r="A157" s="204" t="s">
        <v>89</v>
      </c>
      <c r="B157" s="140">
        <f>+MIN((B156+B153),MasterMenu!$K$19)</f>
        <v>0</v>
      </c>
      <c r="C157" s="141">
        <f>+MIN((C156+C153),MasterMenu!$K$19)</f>
        <v>0</v>
      </c>
      <c r="D157" s="141">
        <f>+MIN((D156+D153),MasterMenu!$K$19)</f>
        <v>0</v>
      </c>
      <c r="E157" s="141">
        <f>+MIN((E156+E153),MasterMenu!$K$19)</f>
        <v>0</v>
      </c>
      <c r="F157" s="141">
        <f>+MIN((F156+F153),MasterMenu!$K$19)</f>
        <v>0</v>
      </c>
      <c r="G157" s="141">
        <f>+MIN((G156+G153),MasterMenu!$K$19)</f>
        <v>0</v>
      </c>
      <c r="H157" s="142">
        <f>SUM(B157:G157)</f>
        <v>0</v>
      </c>
      <c r="I157" s="143">
        <f>+MIN((I153+I154),MasterMenu!K$20,H157,Totalmedcosts)</f>
        <v>0</v>
      </c>
      <c r="AN157">
        <f>+IF(B159&lt;MasterMenu!$H$36,0,IF(AV$28&gt;B159,MIN(AV$28-B159,B$28*$L$28*$O$28,ROUNDUP((AV$28-B159)/$I$28,0)*$O$28),0))</f>
        <v>0</v>
      </c>
      <c r="AO157">
        <f>+IF(C159&lt;MasterMenu!$H$36,0,IF(AW$28&gt;C159,MIN(AW$28-C159,C$28*$L$28*$O$28,ROUNDUP((AW$28-C159)/$I$28,0)*$O$28),0))</f>
        <v>0</v>
      </c>
      <c r="AP157">
        <f>+IF(D159&lt;MasterMenu!$H$36,0,IF(AX$28&gt;D159,MIN(AX$28-D159,D$28*$L$28*$O$28,ROUNDUP((AX$28-D159)/$I$28,0)*$O$28),0))</f>
        <v>0</v>
      </c>
      <c r="AQ157">
        <f>+IF(E159&lt;MasterMenu!$H$36,0,IF(AY$28&gt;E159,MIN(AY$28-E159,E$28*$L$28*$O$28,ROUNDUP((AY$28-E159)/$I$28,0)*$O$28),0))</f>
        <v>0</v>
      </c>
      <c r="AR157">
        <f>+IF(F159&lt;MasterMenu!$H$36,0,IF(AZ$28&gt;F159,MIN(AZ$28-F159,F$28*$L$28*$O$28,ROUNDUP((AZ$28-F159)/$I$28,0)*$O$28),0))</f>
        <v>0</v>
      </c>
      <c r="AS157">
        <f>+IF(G159&lt;MasterMenu!$H$36,0,IF(BA$28&gt;G159,MIN(BA$28-G159,G$28*$L$28*$O$28,ROUNDUP((BA$28-F159)/$I$28,0)*$O$28),0))</f>
        <v>0</v>
      </c>
    </row>
    <row r="158" spans="1:45" x14ac:dyDescent="0.3">
      <c r="A158" s="109" t="s">
        <v>90</v>
      </c>
      <c r="B158" s="496"/>
      <c r="C158" s="497"/>
      <c r="D158" s="497"/>
      <c r="E158" s="497"/>
      <c r="F158" s="497"/>
      <c r="G158" s="497"/>
      <c r="H158" s="497"/>
      <c r="I158" s="498"/>
      <c r="AN158">
        <f>+IF(B159&lt;MasterMenu!$H$36,0,IF(AV$29&gt;B159,MIN(AV$29-B159,B$29*$L$29*$O$29,ROUNDUP((AV$29-B159)/$I$29,0)*$O$29),0))</f>
        <v>0</v>
      </c>
      <c r="AO158">
        <f>+IF(C159&lt;MasterMenu!$H$36,0,IF(AW$29&gt;C159,MIN(AW$29-C159,C$29*$L$29*$O$29,ROUNDUP((AW$29-C$41)/$I$29,0)*$O$29),0))</f>
        <v>0</v>
      </c>
      <c r="AP158">
        <f>+IF(D159&lt;MasterMenu!$H$36,0,IF(AX$29&gt;D159,MIN(AX$29-D159,D$29*$L$29*$O$29,ROUNDUP((AX$29-D159)/$I$29,0)*$O$29),0))</f>
        <v>0</v>
      </c>
      <c r="AQ158">
        <f>+IF(E159&lt;MasterMenu!$H$36,0,IF(AY$29&gt;E159,MIN(AY$29-E159,E$29*$L$29*$O$29,ROUNDUP((AY$29-E159)/$I$29,0)*$O$29),0))</f>
        <v>0</v>
      </c>
      <c r="AR158">
        <f>+IF(F159&lt;MasterMenu!$H$36,0,IF(AZ$29&gt;F159,MIN(AZ$29-F159,F$29*$L$29*$O$29,ROUNDUP((AZ$29-F159)/$I$29,0)*$O$29),0))</f>
        <v>0</v>
      </c>
      <c r="AS158">
        <f>+IF(G159&lt;MasterMenu!$H$36,0,IF(BA$29&gt;G159,MIN(BA$29-G159,G$29*$L$29*$O$29,ROUNDUP((BA$29-G159)/$I$29,0)*$O$29),0))</f>
        <v>0</v>
      </c>
    </row>
    <row r="159" spans="1:45" x14ac:dyDescent="0.3">
      <c r="A159" s="4" t="s">
        <v>85</v>
      </c>
      <c r="B159" s="140">
        <f>+MIN(MasterMenu!$K$36-B153,(AN$32))</f>
        <v>0</v>
      </c>
      <c r="C159" s="142">
        <f>+MIN(MasterMenu!$K$36-C153,(AO$32))</f>
        <v>0</v>
      </c>
      <c r="D159" s="142">
        <f>+MIN(MasterMenu!$K$36-D153,(AP$32))</f>
        <v>0</v>
      </c>
      <c r="E159" s="142">
        <f>+MIN(MasterMenu!$K$36-E153,(AQ$32))</f>
        <v>0</v>
      </c>
      <c r="F159" s="142">
        <f>+MIN(MasterMenu!$K$36-F153,(AR$32))</f>
        <v>0</v>
      </c>
      <c r="G159" s="142">
        <f>+MIN(MasterMenu!$K$36-G153,(AS$32))</f>
        <v>0</v>
      </c>
      <c r="H159" s="142">
        <f>SUM(B159:G159)</f>
        <v>0</v>
      </c>
      <c r="I159" s="499">
        <f>+MIN(MasterMenu!$K$35,H161)</f>
        <v>0</v>
      </c>
      <c r="AN159">
        <f>+IF(B159&lt;MasterMenu!$H$36,0,IF(AV$30&gt;B159,MIN(AV$30-B159,B$30*$L$30*$O$30,ROUNDUP((AV$30-B159)/$I$30,0)*$O$30),0))</f>
        <v>0</v>
      </c>
      <c r="AO159">
        <f>+IF(C159&lt;MasterMenu!$H$36,0,IF(AW$30&gt;C159,MIN(AW$30-C159,C$30*$L$30*$O$30,ROUNDUP((AW$30-C159)/$I$30,0)*$O$30),0))</f>
        <v>0</v>
      </c>
      <c r="AP159">
        <f>+IF(D159&lt;MasterMenu!$H$36,0,IF(AX$30&gt;D159,MIN(AX$30-D159,D$30*$L$30*$O$30,ROUNDUP((AX$30-D159)/$I$30,0)*$O$30),0))</f>
        <v>0</v>
      </c>
      <c r="AQ159">
        <f>+IF(E159&lt;MasterMenu!$H$36,0,IF(AY$30&gt;E159,MIN(AY$30-E159,E$30*$L$30*$O$30,ROUNDUP((AY$30-E159)/$I$30,0)*$O$30),0))</f>
        <v>0</v>
      </c>
      <c r="AR159">
        <f>+IF(F159&lt;MasterMenu!$H$36,0,IF(AZ$30&gt;F159,MIN(AZ$30-F159,F$30*$L$30*$O$30,ROUNDUP((AZ$30-F159)/$I$30,0)*$O$30),0))</f>
        <v>0</v>
      </c>
      <c r="AS159">
        <f>+IF(G159&lt;MasterMenu!$H$36,0,IF(BA$30&gt;G159,MIN(BA$30-G159,G$30*$L$30*$O$30,ROUNDUP((BA$30-G159)/$I$30,0)*$O$30),0))</f>
        <v>0</v>
      </c>
    </row>
    <row r="160" spans="1:45" x14ac:dyDescent="0.3">
      <c r="A160" s="4" t="s">
        <v>86</v>
      </c>
      <c r="B160" s="140">
        <f t="shared" ref="B160" si="72">+IF(B159=0,AF$32,AN161)</f>
        <v>0</v>
      </c>
      <c r="C160" s="142">
        <f t="shared" ref="C160" si="73">+IF(C159=0,AG$32,AO161)</f>
        <v>0</v>
      </c>
      <c r="D160" s="142">
        <f t="shared" ref="D160" si="74">+IF(D159=0,AH$32,AP161)</f>
        <v>0</v>
      </c>
      <c r="E160" s="142">
        <f t="shared" ref="E160" si="75">+IF(E159=0,AI$32,AQ161)</f>
        <v>0</v>
      </c>
      <c r="F160" s="142">
        <f t="shared" ref="F160" si="76">+IF(F159=0,AJ$32,AR161)</f>
        <v>0</v>
      </c>
      <c r="G160" s="142">
        <f t="shared" ref="G160" si="77">+IF(G159=0,AK$32,AS161)</f>
        <v>0</v>
      </c>
      <c r="H160" s="142">
        <f t="shared" ref="H160:H161" si="78">SUM(B160:G160)</f>
        <v>0</v>
      </c>
      <c r="I160" s="500"/>
      <c r="AN160">
        <f>+IF(B159&lt;MasterMenu!$H$36,0,IF(AV$31&gt;B159,MIN(AV$31-B159,B$31*$L$31*$O$31,ROUNDUP((AV$31-B159)/$I$31,0)*$O$31),0))</f>
        <v>0</v>
      </c>
      <c r="AO160">
        <f>+IF(C159&lt;MasterMenu!$H$36,0,IF(AW$31&gt;C159,MIN(AW$31-C159,C$31*$L$31*$O$31,ROUNDUP((AW$31-C159)/$I$31,0)*$O$31),0))</f>
        <v>0</v>
      </c>
      <c r="AP160">
        <f>+IF(D159&lt;MasterMenu!$H$36,0,IF(AX$31&gt;D159,MIN(AX$31-D159,D$31*$L$31*$O$31,ROUNDUP((AX$31-D159)/$I$31,0)*$O$31),0))</f>
        <v>0</v>
      </c>
      <c r="AQ160">
        <f>+IF(E159&lt;MasterMenu!$H$36,0,IF(AY$31&gt;E159,MIN(AY$31-E159,E$31*$L$31*$O$31,ROUNDUP((AY$31-E159)/$I$31,0)*$O$31),0))</f>
        <v>0</v>
      </c>
      <c r="AR160">
        <f>+IF(F159&lt;MasterMenu!$H$36,0,IF(AZ$31&gt;F159,MIN(AZ$31-F159,F$31*$L$31*$O$31,ROUNDUP((AZ$31-F159)/$I$31,0)*$O$31),0))</f>
        <v>0</v>
      </c>
      <c r="AS160">
        <f>+IF(G159&lt;MasterMenu!$H$36,0,IF(BA$31&gt;G159,MIN(BA$31-G159,G$31*$L$31*$O$31,ROUNDUP((BA$31-G159)/$I$31,0)*$O$31),0))</f>
        <v>0</v>
      </c>
    </row>
    <row r="161" spans="1:45" ht="16.2" thickBot="1" x14ac:dyDescent="0.35">
      <c r="A161" s="204" t="s">
        <v>89</v>
      </c>
      <c r="B161" s="140">
        <f>+MAX(0,MIN(MasterMenu!$K$34,B160+B159))</f>
        <v>0</v>
      </c>
      <c r="C161" s="142">
        <f>+MAX(0,MIN(MasterMenu!$K$34,C160+C159))</f>
        <v>0</v>
      </c>
      <c r="D161" s="142">
        <f>+MAX(0,MIN(MasterMenu!$K$34,D160+D159))</f>
        <v>0</v>
      </c>
      <c r="E161" s="142">
        <f>+MAX(0,MIN(MasterMenu!$K$34,E160+E159))</f>
        <v>0</v>
      </c>
      <c r="F161" s="142">
        <f>+MAX(0,MIN(MasterMenu!$K$34,F160+F159))</f>
        <v>0</v>
      </c>
      <c r="G161" s="142">
        <f>+MAX(0,MIN(MasterMenu!$K$34,G160+G159))</f>
        <v>0</v>
      </c>
      <c r="H161" s="142">
        <f t="shared" si="78"/>
        <v>0</v>
      </c>
      <c r="I161" s="501"/>
      <c r="AN161">
        <f>SUM(AN154:AN160)</f>
        <v>0</v>
      </c>
      <c r="AO161">
        <f t="shared" ref="AO161:AS161" si="79">SUM(AO154:AO160)</f>
        <v>0</v>
      </c>
      <c r="AP161">
        <f t="shared" si="79"/>
        <v>0</v>
      </c>
      <c r="AQ161">
        <f t="shared" si="79"/>
        <v>0</v>
      </c>
      <c r="AR161">
        <f t="shared" si="79"/>
        <v>0</v>
      </c>
      <c r="AS161">
        <f t="shared" si="79"/>
        <v>0</v>
      </c>
    </row>
    <row r="162" spans="1:45" ht="16.2" thickBot="1" x14ac:dyDescent="0.35">
      <c r="A162" s="109" t="s">
        <v>89</v>
      </c>
      <c r="B162" s="164">
        <f>+MIN(B161+B157,MasterMenu!$K$19)</f>
        <v>0</v>
      </c>
      <c r="C162" s="165">
        <f>+MIN(C161+C157,MasterMenu!$K$19)</f>
        <v>0</v>
      </c>
      <c r="D162" s="165">
        <f>+MIN(D161+D157,MasterMenu!$K$19)</f>
        <v>0</v>
      </c>
      <c r="E162" s="165">
        <f>+MIN(E161+E157,MasterMenu!$K$19)</f>
        <v>0</v>
      </c>
      <c r="F162" s="165">
        <f>+MIN(F161+F157,MasterMenu!$K$19)</f>
        <v>0</v>
      </c>
      <c r="G162" s="165">
        <f>+MIN(G161+G157,MasterMenu!$J$19)</f>
        <v>0</v>
      </c>
      <c r="H162" s="166">
        <f>SUM(B162:G162)</f>
        <v>0</v>
      </c>
      <c r="I162" s="160">
        <f>+MIN(H162,MasterMenu!$K$20)</f>
        <v>0</v>
      </c>
    </row>
    <row r="163" spans="1:45" x14ac:dyDescent="0.3">
      <c r="A163" s="109"/>
      <c r="B163" s="144"/>
      <c r="C163" s="145"/>
      <c r="D163" s="145"/>
      <c r="E163" s="145"/>
      <c r="F163" s="145"/>
      <c r="G163" s="146"/>
      <c r="H163" s="147" t="s">
        <v>91</v>
      </c>
      <c r="I163" s="167">
        <f>+Totalmedcosts+TotalRXCost</f>
        <v>0</v>
      </c>
    </row>
    <row r="164" spans="1:45" x14ac:dyDescent="0.3">
      <c r="A164" s="109"/>
      <c r="B164" s="144"/>
      <c r="C164" s="145"/>
      <c r="D164" s="145"/>
      <c r="E164" s="145"/>
      <c r="F164" s="145"/>
      <c r="G164" s="144"/>
      <c r="H164" s="148" t="s">
        <v>92</v>
      </c>
      <c r="I164" s="168">
        <f>+MIN(MasterMenu!K$20,I162)</f>
        <v>0</v>
      </c>
      <c r="J164" s="158">
        <f>MasterMenu!K$20</f>
        <v>18000</v>
      </c>
      <c r="M164" t="str">
        <f>+IF(I164&gt;J164,"Error","ok")</f>
        <v>ok</v>
      </c>
    </row>
    <row r="165" spans="1:45" ht="16.2" thickBot="1" x14ac:dyDescent="0.35">
      <c r="A165" s="109"/>
      <c r="B165" s="149"/>
      <c r="C165" s="150"/>
      <c r="D165" s="150"/>
      <c r="E165" s="150"/>
      <c r="F165" s="150"/>
      <c r="G165" s="149"/>
      <c r="H165" s="151" t="s">
        <v>93</v>
      </c>
      <c r="I165" s="169">
        <f>+I163-I164</f>
        <v>0</v>
      </c>
    </row>
  </sheetData>
  <sheetProtection sheet="1" objects="1" scenarios="1"/>
  <mergeCells count="32">
    <mergeCell ref="B134:G134"/>
    <mergeCell ref="I137:I139"/>
    <mergeCell ref="B141:I141"/>
    <mergeCell ref="I142:I144"/>
    <mergeCell ref="B36:G36"/>
    <mergeCell ref="I39:I41"/>
    <mergeCell ref="B52:G52"/>
    <mergeCell ref="I55:I57"/>
    <mergeCell ref="B43:I43"/>
    <mergeCell ref="I45:I46"/>
    <mergeCell ref="I93:I94"/>
    <mergeCell ref="B59:I59"/>
    <mergeCell ref="B68:G68"/>
    <mergeCell ref="I71:I73"/>
    <mergeCell ref="B75:I75"/>
    <mergeCell ref="I61:I62"/>
    <mergeCell ref="B151:G151"/>
    <mergeCell ref="I154:I156"/>
    <mergeCell ref="B158:I158"/>
    <mergeCell ref="I159:I161"/>
    <mergeCell ref="I77:I78"/>
    <mergeCell ref="I125:I127"/>
    <mergeCell ref="I108:I110"/>
    <mergeCell ref="B117:G117"/>
    <mergeCell ref="I120:I122"/>
    <mergeCell ref="B124:I124"/>
    <mergeCell ref="B100:G100"/>
    <mergeCell ref="I103:I105"/>
    <mergeCell ref="B107:I107"/>
    <mergeCell ref="B84:G84"/>
    <mergeCell ref="I87:I89"/>
    <mergeCell ref="B91:I91"/>
  </mergeCells>
  <phoneticPr fontId="2" type="noConversion"/>
  <pageMargins left="0.17" right="0.17" top="1" bottom="1" header="0.5" footer="0.5"/>
  <pageSetup scale="48"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6"/>
  <sheetViews>
    <sheetView workbookViewId="0">
      <selection activeCell="D6" sqref="A6:XFD6"/>
    </sheetView>
  </sheetViews>
  <sheetFormatPr defaultRowHeight="15.6" x14ac:dyDescent="0.3"/>
  <cols>
    <col min="1" max="1" width="29.33203125" bestFit="1" customWidth="1"/>
    <col min="2" max="2" width="12.5546875" bestFit="1" customWidth="1"/>
    <col min="3" max="9" width="12.5546875" style="58" customWidth="1"/>
  </cols>
  <sheetData>
    <row r="1" spans="1:9" x14ac:dyDescent="0.3">
      <c r="A1" s="17" t="s">
        <v>104</v>
      </c>
      <c r="B1" s="17" t="s">
        <v>105</v>
      </c>
      <c r="C1" s="58" t="s">
        <v>106</v>
      </c>
      <c r="D1" s="58" t="s">
        <v>107</v>
      </c>
      <c r="E1" s="58" t="s">
        <v>108</v>
      </c>
      <c r="F1" s="58" t="s">
        <v>109</v>
      </c>
      <c r="G1" s="58" t="s">
        <v>110</v>
      </c>
      <c r="H1" s="58" t="s">
        <v>111</v>
      </c>
      <c r="I1" s="58" t="s">
        <v>112</v>
      </c>
    </row>
    <row r="2" spans="1:9" x14ac:dyDescent="0.3">
      <c r="A2" s="65" t="s">
        <v>3</v>
      </c>
      <c r="B2" s="56" t="s">
        <v>113</v>
      </c>
      <c r="C2" s="60" t="s">
        <v>114</v>
      </c>
      <c r="D2" s="60" t="s">
        <v>115</v>
      </c>
      <c r="E2" s="60" t="s">
        <v>116</v>
      </c>
      <c r="F2" s="60" t="s">
        <v>7</v>
      </c>
      <c r="G2" s="60" t="s">
        <v>117</v>
      </c>
      <c r="H2" s="59" t="s">
        <v>118</v>
      </c>
      <c r="I2" s="60" t="s">
        <v>119</v>
      </c>
    </row>
    <row r="3" spans="1:9" x14ac:dyDescent="0.3">
      <c r="A3" s="65" t="s">
        <v>199</v>
      </c>
      <c r="B3" s="56" t="s">
        <v>113</v>
      </c>
      <c r="C3" s="60" t="s">
        <v>114</v>
      </c>
      <c r="D3" s="60" t="s">
        <v>115</v>
      </c>
      <c r="E3" s="60" t="s">
        <v>7</v>
      </c>
      <c r="F3" s="60" t="s">
        <v>117</v>
      </c>
      <c r="G3" s="60" t="s">
        <v>118</v>
      </c>
      <c r="H3" s="60" t="s">
        <v>119</v>
      </c>
      <c r="I3" s="60"/>
    </row>
    <row r="4" spans="1:9" x14ac:dyDescent="0.3">
      <c r="A4" s="65" t="s">
        <v>120</v>
      </c>
      <c r="B4" s="56" t="s">
        <v>121</v>
      </c>
      <c r="C4" s="59" t="s">
        <v>115</v>
      </c>
      <c r="D4" s="60" t="s">
        <v>116</v>
      </c>
      <c r="E4" s="60" t="s">
        <v>7</v>
      </c>
      <c r="F4" s="60" t="s">
        <v>117</v>
      </c>
      <c r="G4" s="60" t="s">
        <v>118</v>
      </c>
      <c r="H4" s="60" t="s">
        <v>119</v>
      </c>
      <c r="I4" s="60"/>
    </row>
    <row r="5" spans="1:9" x14ac:dyDescent="0.3">
      <c r="A5" s="65" t="s">
        <v>122</v>
      </c>
      <c r="B5" s="56" t="s">
        <v>123</v>
      </c>
      <c r="C5" s="60" t="s">
        <v>114</v>
      </c>
      <c r="D5" s="60" t="s">
        <v>115</v>
      </c>
      <c r="E5" s="60" t="s">
        <v>116</v>
      </c>
      <c r="F5" s="60" t="s">
        <v>7</v>
      </c>
      <c r="G5" s="60" t="s">
        <v>117</v>
      </c>
      <c r="H5" s="60" t="s">
        <v>118</v>
      </c>
      <c r="I5" s="60" t="s">
        <v>119</v>
      </c>
    </row>
    <row r="6" spans="1:9" x14ac:dyDescent="0.3">
      <c r="A6" s="65" t="s">
        <v>198</v>
      </c>
      <c r="B6" s="56" t="s">
        <v>113</v>
      </c>
      <c r="C6" s="59" t="s">
        <v>115</v>
      </c>
      <c r="D6" s="60" t="s">
        <v>116</v>
      </c>
      <c r="E6" s="59" t="s">
        <v>7</v>
      </c>
      <c r="F6" s="60" t="s">
        <v>117</v>
      </c>
      <c r="G6" s="60" t="s">
        <v>118</v>
      </c>
      <c r="H6" s="60" t="s">
        <v>119</v>
      </c>
      <c r="I6" s="60"/>
    </row>
  </sheetData>
  <autoFilter ref="A1:I6" xr:uid="{00000000-0009-0000-0000-000003000000}"/>
  <sortState xmlns:xlrd2="http://schemas.microsoft.com/office/spreadsheetml/2017/richdata2" ref="A2:I6">
    <sortCondition ref="A2:A6"/>
  </sortState>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K41"/>
  <sheetViews>
    <sheetView workbookViewId="0">
      <selection activeCell="D6" sqref="A6:XFD6"/>
    </sheetView>
  </sheetViews>
  <sheetFormatPr defaultColWidth="9.109375" defaultRowHeight="15.6" x14ac:dyDescent="0.3"/>
  <cols>
    <col min="1" max="3" width="9.109375" style="17"/>
    <col min="4" max="4" width="22.6640625" style="17" customWidth="1"/>
    <col min="5" max="9" width="21.44140625" style="17" bestFit="1" customWidth="1"/>
    <col min="10" max="11" width="23.33203125" style="17" bestFit="1" customWidth="1"/>
    <col min="12" max="16384" width="9.109375" style="17"/>
  </cols>
  <sheetData>
    <row r="1" spans="1:11" ht="16.2" thickBot="1" x14ac:dyDescent="0.35">
      <c r="B1" s="18"/>
      <c r="C1" s="18"/>
      <c r="D1" s="18"/>
      <c r="E1" s="53">
        <v>1</v>
      </c>
      <c r="F1" s="53">
        <f t="shared" ref="F1:I1" si="0">+E1+1</f>
        <v>2</v>
      </c>
      <c r="G1" s="53">
        <f t="shared" si="0"/>
        <v>3</v>
      </c>
      <c r="H1" s="53">
        <f t="shared" si="0"/>
        <v>4</v>
      </c>
      <c r="I1" s="53">
        <f t="shared" si="0"/>
        <v>5</v>
      </c>
      <c r="J1" s="53">
        <f t="shared" ref="J1" si="1">+I1+1</f>
        <v>6</v>
      </c>
      <c r="K1" s="53">
        <f t="shared" ref="K1" si="2">+J1+1</f>
        <v>7</v>
      </c>
    </row>
    <row r="2" spans="1:11" s="19" customFormat="1" ht="16.2" thickBot="1" x14ac:dyDescent="0.35">
      <c r="D2" s="20" t="s">
        <v>124</v>
      </c>
      <c r="E2" s="21" t="s">
        <v>114</v>
      </c>
      <c r="F2" s="21" t="s">
        <v>115</v>
      </c>
      <c r="G2" s="21" t="s">
        <v>116</v>
      </c>
      <c r="H2" s="21" t="s">
        <v>7</v>
      </c>
      <c r="I2" s="21" t="s">
        <v>117</v>
      </c>
      <c r="J2" s="22" t="s">
        <v>118</v>
      </c>
      <c r="K2" s="22" t="s">
        <v>119</v>
      </c>
    </row>
    <row r="3" spans="1:11" s="24" customFormat="1" ht="16.2" thickBot="1" x14ac:dyDescent="0.35">
      <c r="A3" s="519"/>
      <c r="B3" s="522"/>
      <c r="C3" s="523" t="s">
        <v>113</v>
      </c>
      <c r="D3" s="23" t="s">
        <v>125</v>
      </c>
      <c r="E3" s="192">
        <v>2307</v>
      </c>
      <c r="F3" s="192">
        <v>2120</v>
      </c>
      <c r="G3" s="192">
        <v>1927</v>
      </c>
      <c r="H3" s="192">
        <v>1732</v>
      </c>
      <c r="I3" s="192">
        <v>2010</v>
      </c>
      <c r="J3" s="193">
        <v>1457</v>
      </c>
      <c r="K3" s="193">
        <v>1378</v>
      </c>
    </row>
    <row r="4" spans="1:11" s="24" customFormat="1" ht="16.2" thickBot="1" x14ac:dyDescent="0.35">
      <c r="A4" s="520"/>
      <c r="B4" s="522"/>
      <c r="C4" s="524"/>
      <c r="D4" s="25" t="s">
        <v>126</v>
      </c>
      <c r="E4" s="194">
        <v>1992</v>
      </c>
      <c r="F4" s="194">
        <v>1832</v>
      </c>
      <c r="G4" s="194">
        <v>1667</v>
      </c>
      <c r="H4" s="194">
        <v>1500</v>
      </c>
      <c r="I4" s="194">
        <v>1737</v>
      </c>
      <c r="J4" s="195">
        <v>1263</v>
      </c>
      <c r="K4" s="195">
        <v>1196</v>
      </c>
    </row>
    <row r="5" spans="1:11" s="24" customFormat="1" ht="16.2" thickBot="1" x14ac:dyDescent="0.35">
      <c r="A5" s="520"/>
      <c r="B5" s="522"/>
      <c r="C5" s="525"/>
      <c r="D5" s="26" t="s">
        <v>127</v>
      </c>
      <c r="E5" s="196">
        <v>2831</v>
      </c>
      <c r="F5" s="196">
        <v>2595</v>
      </c>
      <c r="G5" s="196">
        <v>2352</v>
      </c>
      <c r="H5" s="196">
        <v>2107</v>
      </c>
      <c r="I5" s="196">
        <v>2450</v>
      </c>
      <c r="J5" s="197">
        <v>1756</v>
      </c>
      <c r="K5" s="197">
        <v>1660</v>
      </c>
    </row>
    <row r="6" spans="1:11" s="24" customFormat="1" ht="16.2" thickBot="1" x14ac:dyDescent="0.35">
      <c r="A6" s="520"/>
      <c r="B6" s="522"/>
      <c r="C6" s="523" t="s">
        <v>123</v>
      </c>
      <c r="D6" s="27" t="s">
        <v>128</v>
      </c>
      <c r="E6" s="198">
        <v>1384</v>
      </c>
      <c r="F6" s="198">
        <v>1274</v>
      </c>
      <c r="G6" s="198">
        <v>1161</v>
      </c>
      <c r="H6" s="198">
        <v>1046</v>
      </c>
      <c r="I6" s="198">
        <v>1209</v>
      </c>
      <c r="J6" s="199">
        <v>884</v>
      </c>
      <c r="K6" s="199">
        <v>839</v>
      </c>
    </row>
    <row r="7" spans="1:11" s="24" customFormat="1" ht="16.2" thickBot="1" x14ac:dyDescent="0.35">
      <c r="A7" s="520"/>
      <c r="B7" s="522"/>
      <c r="C7" s="524"/>
      <c r="D7" s="30" t="s">
        <v>129</v>
      </c>
      <c r="E7" s="200">
        <v>2312</v>
      </c>
      <c r="F7" s="200">
        <v>2123</v>
      </c>
      <c r="G7" s="200">
        <v>1929</v>
      </c>
      <c r="H7" s="200">
        <v>1732</v>
      </c>
      <c r="I7" s="200">
        <v>2011</v>
      </c>
      <c r="J7" s="201">
        <v>1452</v>
      </c>
      <c r="K7" s="201">
        <v>1374</v>
      </c>
    </row>
    <row r="8" spans="1:11" s="24" customFormat="1" ht="16.2" thickBot="1" x14ac:dyDescent="0.35">
      <c r="A8" s="520"/>
      <c r="B8" s="522"/>
      <c r="C8" s="524"/>
      <c r="D8" s="30" t="s">
        <v>130</v>
      </c>
      <c r="E8" s="200">
        <v>2908</v>
      </c>
      <c r="F8" s="200">
        <v>2668</v>
      </c>
      <c r="G8" s="200">
        <v>2422</v>
      </c>
      <c r="H8" s="200">
        <v>2172</v>
      </c>
      <c r="I8" s="200">
        <v>2527</v>
      </c>
      <c r="J8" s="201">
        <v>1820</v>
      </c>
      <c r="K8" s="201">
        <v>1719</v>
      </c>
    </row>
    <row r="9" spans="1:11" s="24" customFormat="1" ht="16.2" thickBot="1" x14ac:dyDescent="0.35">
      <c r="A9" s="520"/>
      <c r="B9" s="522"/>
      <c r="C9" s="524"/>
      <c r="D9" s="30" t="s">
        <v>126</v>
      </c>
      <c r="E9" s="31">
        <f>E4</f>
        <v>1992</v>
      </c>
      <c r="F9" s="31">
        <f t="shared" ref="F9:K9" si="3">F4</f>
        <v>1832</v>
      </c>
      <c r="G9" s="31">
        <f t="shared" si="3"/>
        <v>1667</v>
      </c>
      <c r="H9" s="31">
        <f t="shared" si="3"/>
        <v>1500</v>
      </c>
      <c r="I9" s="31">
        <f t="shared" si="3"/>
        <v>1737</v>
      </c>
      <c r="J9" s="32">
        <f t="shared" si="3"/>
        <v>1263</v>
      </c>
      <c r="K9" s="32">
        <f t="shared" si="3"/>
        <v>1196</v>
      </c>
    </row>
    <row r="10" spans="1:11" s="24" customFormat="1" ht="16.2" thickBot="1" x14ac:dyDescent="0.35">
      <c r="A10" s="520"/>
      <c r="B10" s="522"/>
      <c r="C10" s="525"/>
      <c r="D10" s="33" t="s">
        <v>127</v>
      </c>
      <c r="E10" s="34">
        <f>E5</f>
        <v>2831</v>
      </c>
      <c r="F10" s="34">
        <f t="shared" ref="F10:K10" si="4">F5</f>
        <v>2595</v>
      </c>
      <c r="G10" s="34">
        <f t="shared" si="4"/>
        <v>2352</v>
      </c>
      <c r="H10" s="34">
        <f t="shared" si="4"/>
        <v>2107</v>
      </c>
      <c r="I10" s="34">
        <f t="shared" si="4"/>
        <v>2450</v>
      </c>
      <c r="J10" s="35">
        <f t="shared" si="4"/>
        <v>1756</v>
      </c>
      <c r="K10" s="35">
        <f t="shared" si="4"/>
        <v>1660</v>
      </c>
    </row>
    <row r="11" spans="1:11" s="24" customFormat="1" ht="16.2" thickBot="1" x14ac:dyDescent="0.35">
      <c r="A11" s="520"/>
      <c r="B11" s="522"/>
      <c r="C11" s="526" t="s">
        <v>121</v>
      </c>
      <c r="D11" s="36" t="s">
        <v>125</v>
      </c>
      <c r="E11" s="198"/>
      <c r="F11" s="198">
        <v>2190</v>
      </c>
      <c r="G11" s="198">
        <v>1989</v>
      </c>
      <c r="H11" s="198">
        <v>1786</v>
      </c>
      <c r="I11" s="198">
        <v>2074</v>
      </c>
      <c r="J11" s="199">
        <v>1500</v>
      </c>
      <c r="K11" s="199">
        <v>1418</v>
      </c>
    </row>
    <row r="12" spans="1:11" s="24" customFormat="1" ht="16.2" thickBot="1" x14ac:dyDescent="0.35">
      <c r="A12" s="520"/>
      <c r="B12" s="522"/>
      <c r="C12" s="527"/>
      <c r="D12" s="37" t="s">
        <v>126</v>
      </c>
      <c r="E12" s="200"/>
      <c r="F12" s="200">
        <v>1309</v>
      </c>
      <c r="G12" s="200">
        <v>1192</v>
      </c>
      <c r="H12" s="200">
        <v>1074</v>
      </c>
      <c r="I12" s="200">
        <v>1241</v>
      </c>
      <c r="J12" s="201">
        <v>906</v>
      </c>
      <c r="K12" s="201">
        <v>859</v>
      </c>
    </row>
    <row r="13" spans="1:11" s="24" customFormat="1" ht="16.2" thickBot="1" x14ac:dyDescent="0.35">
      <c r="A13" s="520"/>
      <c r="B13" s="522"/>
      <c r="C13" s="527"/>
      <c r="D13" s="37" t="s">
        <v>131</v>
      </c>
      <c r="E13" s="200"/>
      <c r="F13" s="200">
        <v>2183</v>
      </c>
      <c r="G13" s="200">
        <v>1982</v>
      </c>
      <c r="H13" s="200">
        <v>1778</v>
      </c>
      <c r="I13" s="200">
        <v>2066</v>
      </c>
      <c r="J13" s="201">
        <v>1489</v>
      </c>
      <c r="K13" s="201">
        <v>1408</v>
      </c>
    </row>
    <row r="14" spans="1:11" s="24" customFormat="1" ht="16.2" thickBot="1" x14ac:dyDescent="0.35">
      <c r="A14" s="520"/>
      <c r="B14" s="522"/>
      <c r="C14" s="528"/>
      <c r="D14" s="38" t="s">
        <v>127</v>
      </c>
      <c r="E14" s="202"/>
      <c r="F14" s="202">
        <v>2744</v>
      </c>
      <c r="G14" s="202">
        <v>2489</v>
      </c>
      <c r="H14" s="202">
        <v>2231</v>
      </c>
      <c r="I14" s="202">
        <v>2596</v>
      </c>
      <c r="J14" s="203">
        <v>1866</v>
      </c>
      <c r="K14" s="203">
        <v>1763</v>
      </c>
    </row>
    <row r="15" spans="1:11" s="24" customFormat="1" ht="16.2" hidden="1" thickBot="1" x14ac:dyDescent="0.35">
      <c r="A15" s="520"/>
      <c r="B15" s="522"/>
      <c r="C15" s="523" t="s">
        <v>132</v>
      </c>
      <c r="D15" s="27" t="s">
        <v>133</v>
      </c>
      <c r="E15" s="28">
        <v>1144</v>
      </c>
      <c r="F15" s="28">
        <v>1024</v>
      </c>
      <c r="G15" s="28">
        <v>933</v>
      </c>
      <c r="H15" s="28">
        <v>841</v>
      </c>
      <c r="I15" s="28">
        <v>978</v>
      </c>
      <c r="J15" s="29">
        <v>683</v>
      </c>
      <c r="K15" s="29">
        <v>649</v>
      </c>
    </row>
    <row r="16" spans="1:11" s="24" customFormat="1" ht="16.2" hidden="1" thickBot="1" x14ac:dyDescent="0.35">
      <c r="A16" s="520"/>
      <c r="B16" s="522"/>
      <c r="C16" s="524"/>
      <c r="D16" s="30" t="s">
        <v>134</v>
      </c>
      <c r="E16" s="31">
        <v>1907</v>
      </c>
      <c r="F16" s="31">
        <v>1700</v>
      </c>
      <c r="G16" s="31">
        <v>1545</v>
      </c>
      <c r="H16" s="31">
        <v>1386</v>
      </c>
      <c r="I16" s="31">
        <v>1621</v>
      </c>
      <c r="J16" s="32">
        <v>1114</v>
      </c>
      <c r="K16" s="32">
        <v>1055</v>
      </c>
    </row>
    <row r="17" spans="1:11" s="24" customFormat="1" ht="16.2" hidden="1" thickBot="1" x14ac:dyDescent="0.35">
      <c r="A17" s="521"/>
      <c r="B17" s="522"/>
      <c r="C17" s="525"/>
      <c r="D17" s="33" t="s">
        <v>100</v>
      </c>
      <c r="E17" s="80">
        <v>2396</v>
      </c>
      <c r="F17" s="80">
        <v>2134</v>
      </c>
      <c r="G17" s="80">
        <v>1937</v>
      </c>
      <c r="H17" s="80">
        <v>1736</v>
      </c>
      <c r="I17" s="80">
        <v>2035</v>
      </c>
      <c r="J17" s="81">
        <v>1393</v>
      </c>
      <c r="K17" s="81">
        <v>1317</v>
      </c>
    </row>
    <row r="18" spans="1:11" s="39" customFormat="1" ht="17.399999999999999" x14ac:dyDescent="0.3">
      <c r="A18" s="91" t="s">
        <v>135</v>
      </c>
      <c r="B18" s="92"/>
      <c r="C18" s="92"/>
      <c r="D18" s="93"/>
      <c r="E18" s="82"/>
      <c r="F18" s="82"/>
      <c r="G18" s="82"/>
      <c r="H18" s="82"/>
      <c r="I18" s="82"/>
      <c r="J18" s="82"/>
      <c r="K18" s="82"/>
    </row>
    <row r="19" spans="1:11" s="40" customFormat="1" x14ac:dyDescent="0.3">
      <c r="A19" s="94" t="s">
        <v>136</v>
      </c>
      <c r="B19" s="95"/>
      <c r="C19" s="95"/>
      <c r="D19" s="96"/>
      <c r="E19" s="43">
        <v>2000</v>
      </c>
      <c r="F19" s="43">
        <v>3000</v>
      </c>
      <c r="G19" s="43">
        <v>4000</v>
      </c>
      <c r="H19" s="43">
        <v>4000</v>
      </c>
      <c r="I19" s="43">
        <v>3400</v>
      </c>
      <c r="J19" s="43">
        <v>6350</v>
      </c>
      <c r="K19" s="43">
        <v>9000</v>
      </c>
    </row>
    <row r="20" spans="1:11" s="40" customFormat="1" x14ac:dyDescent="0.3">
      <c r="A20" s="94" t="s">
        <v>137</v>
      </c>
      <c r="B20" s="95"/>
      <c r="C20" s="95"/>
      <c r="D20" s="96"/>
      <c r="E20" s="43">
        <v>4000</v>
      </c>
      <c r="F20" s="43">
        <v>6000</v>
      </c>
      <c r="G20" s="43">
        <v>8000</v>
      </c>
      <c r="H20" s="43">
        <v>8000</v>
      </c>
      <c r="I20" s="43">
        <v>6800</v>
      </c>
      <c r="J20" s="43">
        <v>12700</v>
      </c>
      <c r="K20" s="43">
        <v>18000</v>
      </c>
    </row>
    <row r="21" spans="1:11" s="40" customFormat="1" x14ac:dyDescent="0.3">
      <c r="A21" s="97" t="s">
        <v>138</v>
      </c>
      <c r="B21" s="95"/>
      <c r="C21" s="95"/>
      <c r="D21" s="96"/>
      <c r="E21" s="43">
        <v>500</v>
      </c>
      <c r="F21" s="43">
        <v>750</v>
      </c>
      <c r="G21" s="43">
        <v>2000</v>
      </c>
      <c r="H21" s="43">
        <v>3000</v>
      </c>
      <c r="I21" s="43">
        <v>1700</v>
      </c>
      <c r="J21" s="43">
        <v>5000</v>
      </c>
      <c r="K21" s="43">
        <v>9000</v>
      </c>
    </row>
    <row r="22" spans="1:11" s="45" customFormat="1" x14ac:dyDescent="0.3">
      <c r="A22" s="41" t="s">
        <v>139</v>
      </c>
      <c r="B22" s="42"/>
      <c r="C22" s="42"/>
      <c r="D22" s="98"/>
      <c r="E22" s="43">
        <v>1000</v>
      </c>
      <c r="F22" s="43">
        <v>1500</v>
      </c>
      <c r="G22" s="43">
        <v>4000</v>
      </c>
      <c r="H22" s="43">
        <v>6000</v>
      </c>
      <c r="I22" s="43">
        <v>3400</v>
      </c>
      <c r="J22" s="43">
        <v>10000</v>
      </c>
      <c r="K22" s="43">
        <v>18000</v>
      </c>
    </row>
    <row r="23" spans="1:11" s="45" customFormat="1" x14ac:dyDescent="0.3">
      <c r="A23" s="41" t="s">
        <v>140</v>
      </c>
      <c r="B23" s="42"/>
      <c r="C23" s="42"/>
      <c r="D23" s="98"/>
      <c r="E23" s="83">
        <f t="shared" ref="E23:J23" si="5">+E19-E21</f>
        <v>1500</v>
      </c>
      <c r="F23" s="83">
        <f t="shared" si="5"/>
        <v>2250</v>
      </c>
      <c r="G23" s="83">
        <f t="shared" ref="G23:H23" si="6">+G19-G21</f>
        <v>2000</v>
      </c>
      <c r="H23" s="83">
        <f t="shared" si="6"/>
        <v>1000</v>
      </c>
      <c r="I23" s="83">
        <f t="shared" ref="I23" si="7">+I19-I21</f>
        <v>1700</v>
      </c>
      <c r="J23" s="83">
        <f t="shared" si="5"/>
        <v>1350</v>
      </c>
      <c r="K23" s="83">
        <f t="shared" ref="K23" si="8">+K19-K21</f>
        <v>0</v>
      </c>
    </row>
    <row r="24" spans="1:11" s="45" customFormat="1" x14ac:dyDescent="0.3">
      <c r="A24" s="41" t="s">
        <v>141</v>
      </c>
      <c r="B24" s="42"/>
      <c r="C24" s="42"/>
      <c r="D24" s="98"/>
      <c r="E24" s="83">
        <f t="shared" ref="E24:J24" si="9">+E20-E22</f>
        <v>3000</v>
      </c>
      <c r="F24" s="83">
        <f t="shared" si="9"/>
        <v>4500</v>
      </c>
      <c r="G24" s="83">
        <f t="shared" ref="G24:H24" si="10">+G20-G22</f>
        <v>4000</v>
      </c>
      <c r="H24" s="83">
        <f t="shared" si="10"/>
        <v>2000</v>
      </c>
      <c r="I24" s="83">
        <f t="shared" ref="I24" si="11">+I20-I22</f>
        <v>3400</v>
      </c>
      <c r="J24" s="83">
        <f t="shared" si="9"/>
        <v>2700</v>
      </c>
      <c r="K24" s="83">
        <f t="shared" ref="K24" si="12">+K20-K22</f>
        <v>0</v>
      </c>
    </row>
    <row r="25" spans="1:11" s="45" customFormat="1" x14ac:dyDescent="0.3">
      <c r="A25" s="94" t="s">
        <v>142</v>
      </c>
      <c r="B25" s="95"/>
      <c r="C25" s="95"/>
      <c r="D25" s="96"/>
      <c r="E25" s="43"/>
      <c r="F25" s="43"/>
      <c r="G25" s="43"/>
      <c r="H25" s="43"/>
      <c r="I25" s="84"/>
      <c r="J25" s="84"/>
      <c r="K25" s="84"/>
    </row>
    <row r="26" spans="1:11" s="51" customFormat="1" x14ac:dyDescent="0.3">
      <c r="A26" s="48" t="s">
        <v>143</v>
      </c>
      <c r="B26" s="49"/>
      <c r="C26" s="49"/>
      <c r="D26" s="100"/>
      <c r="E26" s="50">
        <v>0</v>
      </c>
      <c r="F26" s="50">
        <v>0</v>
      </c>
      <c r="G26" s="50">
        <v>0</v>
      </c>
      <c r="H26" s="50">
        <v>0</v>
      </c>
      <c r="I26" s="50">
        <v>25</v>
      </c>
      <c r="J26" s="50">
        <v>25</v>
      </c>
      <c r="K26" s="50">
        <v>25</v>
      </c>
    </row>
    <row r="27" spans="1:11" s="52" customFormat="1" x14ac:dyDescent="0.3">
      <c r="A27" s="48" t="s">
        <v>144</v>
      </c>
      <c r="B27" s="49"/>
      <c r="C27" s="49"/>
      <c r="D27" s="100"/>
      <c r="E27" s="50">
        <v>30</v>
      </c>
      <c r="F27" s="50">
        <v>30</v>
      </c>
      <c r="G27" s="50">
        <v>30</v>
      </c>
      <c r="H27" s="50">
        <v>40</v>
      </c>
      <c r="I27" s="50">
        <v>0</v>
      </c>
      <c r="J27" s="50">
        <v>0</v>
      </c>
      <c r="K27" s="50">
        <v>0</v>
      </c>
    </row>
    <row r="28" spans="1:11" s="40" customFormat="1" x14ac:dyDescent="0.3">
      <c r="A28" s="46" t="s">
        <v>145</v>
      </c>
      <c r="B28" s="42"/>
      <c r="C28" s="42"/>
      <c r="D28" s="99"/>
      <c r="E28" s="47">
        <v>0.2</v>
      </c>
      <c r="F28" s="47">
        <v>0.2</v>
      </c>
      <c r="G28" s="47">
        <v>0.2</v>
      </c>
      <c r="H28" s="47">
        <v>0.2</v>
      </c>
      <c r="I28" s="47">
        <v>0.1</v>
      </c>
      <c r="J28" s="47">
        <v>0.3</v>
      </c>
      <c r="K28" s="47">
        <v>0</v>
      </c>
    </row>
    <row r="29" spans="1:11" s="40" customFormat="1" x14ac:dyDescent="0.3">
      <c r="A29" s="46" t="s">
        <v>146</v>
      </c>
      <c r="B29" s="42"/>
      <c r="C29" s="42"/>
      <c r="D29" s="99"/>
      <c r="E29" s="47">
        <v>0.2</v>
      </c>
      <c r="F29" s="47">
        <v>0.2</v>
      </c>
      <c r="G29" s="47">
        <v>0.2</v>
      </c>
      <c r="H29" s="47">
        <v>0.2</v>
      </c>
      <c r="I29" s="47">
        <v>0.1</v>
      </c>
      <c r="J29" s="47">
        <v>0.3</v>
      </c>
      <c r="K29" s="47">
        <v>0</v>
      </c>
    </row>
    <row r="30" spans="1:11" s="40" customFormat="1" x14ac:dyDescent="0.3">
      <c r="A30" s="46" t="s">
        <v>147</v>
      </c>
      <c r="B30" s="42"/>
      <c r="C30" s="42"/>
      <c r="D30" s="99"/>
      <c r="E30" s="44">
        <v>100</v>
      </c>
      <c r="F30" s="44">
        <v>100</v>
      </c>
      <c r="G30" s="44">
        <v>100</v>
      </c>
      <c r="H30" s="44">
        <v>100</v>
      </c>
      <c r="I30" s="44">
        <v>100</v>
      </c>
      <c r="J30" s="44">
        <v>100</v>
      </c>
      <c r="K30" s="44">
        <v>100</v>
      </c>
    </row>
    <row r="31" spans="1:11" s="40" customFormat="1" x14ac:dyDescent="0.3">
      <c r="A31" s="516" t="s">
        <v>148</v>
      </c>
      <c r="B31" s="517"/>
      <c r="C31" s="517"/>
      <c r="D31" s="518"/>
      <c r="E31" s="47">
        <v>0.2</v>
      </c>
      <c r="F31" s="47">
        <v>0.2</v>
      </c>
      <c r="G31" s="47">
        <v>0.2</v>
      </c>
      <c r="H31" s="47">
        <v>0.2</v>
      </c>
      <c r="I31" s="47">
        <v>0.1</v>
      </c>
      <c r="J31" s="47">
        <v>0.3</v>
      </c>
      <c r="K31" s="47">
        <v>0</v>
      </c>
    </row>
    <row r="32" spans="1:11" s="52" customFormat="1" x14ac:dyDescent="0.3">
      <c r="A32" s="48" t="s">
        <v>149</v>
      </c>
      <c r="B32" s="49"/>
      <c r="C32" s="49"/>
      <c r="D32" s="100"/>
      <c r="E32" s="50">
        <v>0</v>
      </c>
      <c r="F32" s="50">
        <v>0</v>
      </c>
      <c r="G32" s="50">
        <v>0</v>
      </c>
      <c r="H32" s="50">
        <v>0</v>
      </c>
      <c r="I32" s="177">
        <v>0</v>
      </c>
      <c r="J32" s="177">
        <v>0</v>
      </c>
      <c r="K32" s="177">
        <v>0</v>
      </c>
    </row>
    <row r="33" spans="1:11" s="39" customFormat="1" ht="17.399999999999999" x14ac:dyDescent="0.3">
      <c r="A33" s="101" t="s">
        <v>150</v>
      </c>
      <c r="B33" s="102"/>
      <c r="C33" s="102"/>
      <c r="D33" s="103"/>
      <c r="E33" s="82"/>
      <c r="F33" s="82"/>
      <c r="G33" s="82"/>
      <c r="H33" s="82"/>
      <c r="I33" s="82"/>
      <c r="J33" s="82"/>
      <c r="K33" s="82"/>
    </row>
    <row r="34" spans="1:11" ht="15.75" customHeight="1" x14ac:dyDescent="0.3">
      <c r="A34" s="94" t="s">
        <v>136</v>
      </c>
      <c r="B34" s="95"/>
      <c r="C34" s="95"/>
      <c r="D34" s="104"/>
      <c r="E34" s="85">
        <v>2500</v>
      </c>
      <c r="F34" s="85">
        <v>2500</v>
      </c>
      <c r="G34" s="85">
        <v>2500</v>
      </c>
      <c r="H34" s="85">
        <v>2500</v>
      </c>
      <c r="I34" s="84">
        <f>I19</f>
        <v>3400</v>
      </c>
      <c r="J34" s="84">
        <f t="shared" ref="J34:K37" si="13">J19</f>
        <v>6350</v>
      </c>
      <c r="K34" s="84">
        <f t="shared" si="13"/>
        <v>9000</v>
      </c>
    </row>
    <row r="35" spans="1:11" x14ac:dyDescent="0.3">
      <c r="A35" s="94" t="s">
        <v>137</v>
      </c>
      <c r="B35" s="95"/>
      <c r="C35" s="95"/>
      <c r="D35" s="104"/>
      <c r="E35" s="85">
        <v>3500</v>
      </c>
      <c r="F35" s="85">
        <v>3500</v>
      </c>
      <c r="G35" s="85">
        <v>3500</v>
      </c>
      <c r="H35" s="85">
        <v>3500</v>
      </c>
      <c r="I35" s="84">
        <f>I20</f>
        <v>6800</v>
      </c>
      <c r="J35" s="84">
        <f t="shared" si="13"/>
        <v>12700</v>
      </c>
      <c r="K35" s="84">
        <f t="shared" si="13"/>
        <v>18000</v>
      </c>
    </row>
    <row r="36" spans="1:11" x14ac:dyDescent="0.3">
      <c r="A36" s="77" t="s">
        <v>151</v>
      </c>
      <c r="B36" s="42"/>
      <c r="C36" s="42"/>
      <c r="D36" s="99"/>
      <c r="E36" s="86">
        <v>200</v>
      </c>
      <c r="F36" s="87">
        <v>200</v>
      </c>
      <c r="G36" s="87">
        <v>200</v>
      </c>
      <c r="H36" s="87">
        <v>200</v>
      </c>
      <c r="I36" s="88">
        <f>I21</f>
        <v>1700</v>
      </c>
      <c r="J36" s="88">
        <f t="shared" si="13"/>
        <v>5000</v>
      </c>
      <c r="K36" s="88">
        <f t="shared" si="13"/>
        <v>9000</v>
      </c>
    </row>
    <row r="37" spans="1:11" x14ac:dyDescent="0.3">
      <c r="A37" s="77" t="s">
        <v>152</v>
      </c>
      <c r="B37" s="42"/>
      <c r="C37" s="42"/>
      <c r="D37" s="99"/>
      <c r="E37" s="86">
        <v>500</v>
      </c>
      <c r="F37" s="87">
        <v>500</v>
      </c>
      <c r="G37" s="87">
        <v>500</v>
      </c>
      <c r="H37" s="87">
        <v>500</v>
      </c>
      <c r="I37" s="88">
        <f>I22</f>
        <v>3400</v>
      </c>
      <c r="J37" s="88">
        <f t="shared" si="13"/>
        <v>10000</v>
      </c>
      <c r="K37" s="88">
        <f t="shared" si="13"/>
        <v>18000</v>
      </c>
    </row>
    <row r="38" spans="1:11" x14ac:dyDescent="0.3">
      <c r="A38" s="77" t="s">
        <v>153</v>
      </c>
      <c r="B38" s="42"/>
      <c r="C38" s="42"/>
      <c r="D38" s="98"/>
      <c r="E38" s="85">
        <v>0</v>
      </c>
      <c r="F38" s="85">
        <v>0</v>
      </c>
      <c r="G38" s="85">
        <v>0</v>
      </c>
      <c r="H38" s="85">
        <v>0</v>
      </c>
      <c r="I38" s="88">
        <v>0</v>
      </c>
      <c r="J38" s="88">
        <v>0</v>
      </c>
      <c r="K38" s="88">
        <v>0</v>
      </c>
    </row>
    <row r="39" spans="1:11" x14ac:dyDescent="0.3">
      <c r="A39" s="77" t="s">
        <v>154</v>
      </c>
      <c r="B39" s="42"/>
      <c r="C39" s="42"/>
      <c r="D39" s="98"/>
      <c r="E39" s="85">
        <v>90</v>
      </c>
      <c r="F39" s="85">
        <v>90</v>
      </c>
      <c r="G39" s="85">
        <v>90</v>
      </c>
      <c r="H39" s="85">
        <v>90</v>
      </c>
      <c r="I39" s="88">
        <v>90</v>
      </c>
      <c r="J39" s="88">
        <v>90</v>
      </c>
      <c r="K39" s="88">
        <v>0</v>
      </c>
    </row>
    <row r="40" spans="1:11" x14ac:dyDescent="0.3">
      <c r="A40" s="77" t="s">
        <v>155</v>
      </c>
      <c r="B40" s="42"/>
      <c r="C40" s="42"/>
      <c r="D40" s="98"/>
      <c r="E40" s="89">
        <v>35</v>
      </c>
      <c r="F40" s="89">
        <v>35</v>
      </c>
      <c r="G40" s="89">
        <v>35</v>
      </c>
      <c r="H40" s="89">
        <v>35</v>
      </c>
      <c r="I40" s="90">
        <v>35</v>
      </c>
      <c r="J40" s="90">
        <v>35</v>
      </c>
      <c r="K40" s="90">
        <v>0</v>
      </c>
    </row>
    <row r="41" spans="1:11" ht="16.2" thickBot="1" x14ac:dyDescent="0.35">
      <c r="A41" s="78" t="s">
        <v>156</v>
      </c>
      <c r="B41" s="79"/>
      <c r="C41" s="79"/>
      <c r="D41" s="105"/>
      <c r="E41" s="85">
        <v>10</v>
      </c>
      <c r="F41" s="85">
        <v>10</v>
      </c>
      <c r="G41" s="85">
        <v>10</v>
      </c>
      <c r="H41" s="85">
        <v>10</v>
      </c>
      <c r="I41" s="88">
        <v>9</v>
      </c>
      <c r="J41" s="88">
        <v>9</v>
      </c>
      <c r="K41" s="88">
        <v>0</v>
      </c>
    </row>
  </sheetData>
  <mergeCells count="8">
    <mergeCell ref="A31:D31"/>
    <mergeCell ref="A3:A17"/>
    <mergeCell ref="B3:B10"/>
    <mergeCell ref="C3:C5"/>
    <mergeCell ref="C6:C10"/>
    <mergeCell ref="B11:B17"/>
    <mergeCell ref="C11:C14"/>
    <mergeCell ref="C15:C1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E29"/>
  <sheetViews>
    <sheetView workbookViewId="0"/>
  </sheetViews>
  <sheetFormatPr defaultRowHeight="15.6" x14ac:dyDescent="0.3"/>
  <cols>
    <col min="1" max="1" width="22.5546875" bestFit="1" customWidth="1"/>
    <col min="2" max="2" width="16.33203125" bestFit="1" customWidth="1"/>
    <col min="3" max="3" width="23.33203125" bestFit="1" customWidth="1"/>
    <col min="4" max="4" width="4.6640625" bestFit="1" customWidth="1"/>
  </cols>
  <sheetData>
    <row r="1" spans="1:5" ht="16.2" thickBot="1" x14ac:dyDescent="0.35">
      <c r="A1" s="19" t="s">
        <v>157</v>
      </c>
      <c r="B1" s="19" t="s">
        <v>158</v>
      </c>
      <c r="C1" s="19" t="s">
        <v>159</v>
      </c>
      <c r="D1" s="19"/>
      <c r="E1" s="19"/>
    </row>
    <row r="2" spans="1:5" ht="16.2" thickBot="1" x14ac:dyDescent="0.35">
      <c r="A2" s="186" t="s">
        <v>114</v>
      </c>
      <c r="B2">
        <v>1</v>
      </c>
      <c r="C2" s="190">
        <f>+P1payments</f>
        <v>0</v>
      </c>
    </row>
    <row r="3" spans="1:5" x14ac:dyDescent="0.3">
      <c r="A3" s="64" t="s">
        <v>115</v>
      </c>
      <c r="B3">
        <v>2</v>
      </c>
      <c r="C3" s="190">
        <f>+p2payments</f>
        <v>0</v>
      </c>
    </row>
    <row r="4" spans="1:5" x14ac:dyDescent="0.3">
      <c r="A4" s="64" t="s">
        <v>116</v>
      </c>
      <c r="B4">
        <v>3</v>
      </c>
      <c r="C4" s="190">
        <f>+P3payments</f>
        <v>0</v>
      </c>
    </row>
    <row r="5" spans="1:5" x14ac:dyDescent="0.3">
      <c r="A5" s="64" t="s">
        <v>7</v>
      </c>
      <c r="B5">
        <v>4</v>
      </c>
      <c r="C5" s="190">
        <f>+p4payments</f>
        <v>0</v>
      </c>
    </row>
    <row r="6" spans="1:5" x14ac:dyDescent="0.3">
      <c r="A6" s="64" t="s">
        <v>117</v>
      </c>
      <c r="B6">
        <v>5</v>
      </c>
      <c r="C6" s="190" cm="1">
        <f t="array" ref="C6">+IF(CoveredDependents&gt;0,p5familypayments,p5spayments)</f>
        <v>0</v>
      </c>
    </row>
    <row r="7" spans="1:5" x14ac:dyDescent="0.3">
      <c r="A7" s="64" t="s">
        <v>118</v>
      </c>
      <c r="B7">
        <v>6</v>
      </c>
      <c r="C7" s="190">
        <f>+p6payments</f>
        <v>0</v>
      </c>
    </row>
    <row r="8" spans="1:5" x14ac:dyDescent="0.3">
      <c r="A8" s="64" t="s">
        <v>119</v>
      </c>
      <c r="B8">
        <v>7</v>
      </c>
      <c r="C8" s="190">
        <f>+P7Payments</f>
        <v>0</v>
      </c>
    </row>
    <row r="11" spans="1:5" x14ac:dyDescent="0.3">
      <c r="A11" s="17" t="s">
        <v>157</v>
      </c>
      <c r="B11" s="17" t="s">
        <v>157</v>
      </c>
      <c r="D11" s="17" t="s">
        <v>160</v>
      </c>
    </row>
    <row r="12" spans="1:5" x14ac:dyDescent="0.3">
      <c r="A12" s="17" t="s">
        <v>123</v>
      </c>
      <c r="B12" t="s">
        <v>161</v>
      </c>
      <c r="C12" t="str">
        <f t="shared" ref="C12:C29" si="0">+CONCATENATE(A12," ",B12)</f>
        <v>A3R2 Employee 2-Party</v>
      </c>
      <c r="D12">
        <v>5</v>
      </c>
    </row>
    <row r="13" spans="1:5" x14ac:dyDescent="0.3">
      <c r="A13" s="17" t="s">
        <v>123</v>
      </c>
      <c r="B13" t="s">
        <v>162</v>
      </c>
      <c r="C13" t="str">
        <f t="shared" si="0"/>
        <v>A3R2 Employee Family</v>
      </c>
      <c r="D13">
        <v>6</v>
      </c>
    </row>
    <row r="14" spans="1:5" x14ac:dyDescent="0.3">
      <c r="A14" s="17" t="s">
        <v>123</v>
      </c>
      <c r="B14" t="s">
        <v>163</v>
      </c>
      <c r="C14" t="str">
        <f t="shared" si="0"/>
        <v>A3R2 Employee Single</v>
      </c>
      <c r="D14">
        <v>4</v>
      </c>
    </row>
    <row r="15" spans="1:5" x14ac:dyDescent="0.3">
      <c r="A15" s="17" t="s">
        <v>123</v>
      </c>
      <c r="B15" t="s">
        <v>127</v>
      </c>
      <c r="C15" t="str">
        <f t="shared" si="0"/>
        <v>A3R2 Retiree Family</v>
      </c>
      <c r="D15">
        <v>8</v>
      </c>
    </row>
    <row r="16" spans="1:5" x14ac:dyDescent="0.3">
      <c r="A16" s="17" t="s">
        <v>123</v>
      </c>
      <c r="B16" t="s">
        <v>126</v>
      </c>
      <c r="C16" t="str">
        <f t="shared" si="0"/>
        <v>A3R2 Retiree Single</v>
      </c>
      <c r="D16">
        <v>7</v>
      </c>
    </row>
    <row r="17" spans="1:4" x14ac:dyDescent="0.3">
      <c r="A17" t="s">
        <v>113</v>
      </c>
      <c r="B17" t="s">
        <v>164</v>
      </c>
      <c r="C17" t="str">
        <f t="shared" si="0"/>
        <v>ACR2 Employee Composite</v>
      </c>
      <c r="D17">
        <v>1</v>
      </c>
    </row>
    <row r="18" spans="1:4" x14ac:dyDescent="0.3">
      <c r="A18" t="s">
        <v>113</v>
      </c>
      <c r="B18" t="s">
        <v>127</v>
      </c>
      <c r="C18" t="str">
        <f t="shared" si="0"/>
        <v>ACR2 Retiree Family</v>
      </c>
      <c r="D18">
        <v>3</v>
      </c>
    </row>
    <row r="19" spans="1:4" x14ac:dyDescent="0.3">
      <c r="A19" t="s">
        <v>113</v>
      </c>
      <c r="B19" t="s">
        <v>126</v>
      </c>
      <c r="C19" t="str">
        <f t="shared" si="0"/>
        <v>ACR2 Retiree Single</v>
      </c>
      <c r="D19">
        <v>2</v>
      </c>
    </row>
    <row r="20" spans="1:4" x14ac:dyDescent="0.3">
      <c r="A20" t="s">
        <v>132</v>
      </c>
      <c r="B20" t="s">
        <v>161</v>
      </c>
      <c r="C20" t="str">
        <f t="shared" si="0"/>
        <v>B3 Employee 2-Party</v>
      </c>
      <c r="D20">
        <v>14</v>
      </c>
    </row>
    <row r="21" spans="1:4" x14ac:dyDescent="0.3">
      <c r="A21" t="s">
        <v>132</v>
      </c>
      <c r="B21" t="s">
        <v>162</v>
      </c>
      <c r="C21" t="str">
        <f t="shared" si="0"/>
        <v>B3 Employee Family</v>
      </c>
      <c r="D21">
        <v>15</v>
      </c>
    </row>
    <row r="22" spans="1:4" x14ac:dyDescent="0.3">
      <c r="A22" t="s">
        <v>132</v>
      </c>
      <c r="B22" t="s">
        <v>163</v>
      </c>
      <c r="C22" t="str">
        <f t="shared" si="0"/>
        <v>B3 Employee Single</v>
      </c>
      <c r="D22">
        <v>13</v>
      </c>
    </row>
    <row r="23" spans="1:4" x14ac:dyDescent="0.3">
      <c r="A23" t="s">
        <v>132</v>
      </c>
      <c r="B23" t="s">
        <v>131</v>
      </c>
      <c r="C23" t="str">
        <f t="shared" si="0"/>
        <v>B3 Retiree 2-Party</v>
      </c>
      <c r="D23">
        <v>14</v>
      </c>
    </row>
    <row r="24" spans="1:4" x14ac:dyDescent="0.3">
      <c r="A24" t="s">
        <v>132</v>
      </c>
      <c r="B24" t="s">
        <v>127</v>
      </c>
      <c r="C24" t="str">
        <f t="shared" si="0"/>
        <v>B3 Retiree Family</v>
      </c>
      <c r="D24">
        <v>15</v>
      </c>
    </row>
    <row r="25" spans="1:4" x14ac:dyDescent="0.3">
      <c r="A25" t="s">
        <v>132</v>
      </c>
      <c r="B25" t="s">
        <v>126</v>
      </c>
      <c r="C25" t="str">
        <f t="shared" si="0"/>
        <v>B3 Retiree Single</v>
      </c>
      <c r="D25">
        <v>13</v>
      </c>
    </row>
    <row r="26" spans="1:4" x14ac:dyDescent="0.3">
      <c r="A26" t="s">
        <v>121</v>
      </c>
      <c r="B26" t="s">
        <v>164</v>
      </c>
      <c r="C26" t="str">
        <f t="shared" si="0"/>
        <v>BACR3 Employee Composite</v>
      </c>
      <c r="D26">
        <v>9</v>
      </c>
    </row>
    <row r="27" spans="1:4" x14ac:dyDescent="0.3">
      <c r="A27" t="s">
        <v>121</v>
      </c>
      <c r="B27" t="s">
        <v>131</v>
      </c>
      <c r="C27" t="str">
        <f t="shared" si="0"/>
        <v>BACR3 Retiree 2-Party</v>
      </c>
      <c r="D27">
        <v>11</v>
      </c>
    </row>
    <row r="28" spans="1:4" x14ac:dyDescent="0.3">
      <c r="A28" t="s">
        <v>121</v>
      </c>
      <c r="B28" t="s">
        <v>127</v>
      </c>
      <c r="C28" t="str">
        <f t="shared" si="0"/>
        <v>BACR3 Retiree Family</v>
      </c>
      <c r="D28">
        <v>12</v>
      </c>
    </row>
    <row r="29" spans="1:4" x14ac:dyDescent="0.3">
      <c r="A29" t="s">
        <v>121</v>
      </c>
      <c r="B29" t="s">
        <v>126</v>
      </c>
      <c r="C29" t="str">
        <f t="shared" si="0"/>
        <v>BACR3 Retiree Single</v>
      </c>
      <c r="D29">
        <v>10</v>
      </c>
    </row>
  </sheetData>
  <sortState xmlns:xlrd2="http://schemas.microsoft.com/office/spreadsheetml/2017/richdata2" ref="A2:E8">
    <sortCondition ref="A2:A8"/>
  </sortState>
  <pageMargins left="0.7" right="0.7" top="0.75" bottom="0.75" header="0.3" footer="0.3"/>
  <pageSetup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J20"/>
  <sheetViews>
    <sheetView workbookViewId="0"/>
  </sheetViews>
  <sheetFormatPr defaultRowHeight="15.6" x14ac:dyDescent="0.3"/>
  <cols>
    <col min="1" max="1" width="9.33203125" bestFit="1" customWidth="1"/>
    <col min="2" max="4" width="10.33203125" bestFit="1" customWidth="1"/>
  </cols>
  <sheetData>
    <row r="1" spans="1:10" ht="18" x14ac:dyDescent="0.35">
      <c r="A1" s="7" t="s">
        <v>0</v>
      </c>
      <c r="B1" s="7"/>
    </row>
    <row r="2" spans="1:10" ht="18" x14ac:dyDescent="0.35">
      <c r="A2" s="7" t="s">
        <v>165</v>
      </c>
      <c r="B2" s="7"/>
    </row>
    <row r="5" spans="1:10" x14ac:dyDescent="0.3">
      <c r="A5" s="17" t="s">
        <v>5</v>
      </c>
      <c r="B5" s="17"/>
    </row>
    <row r="6" spans="1:10" x14ac:dyDescent="0.3">
      <c r="A6" s="17" t="s">
        <v>166</v>
      </c>
      <c r="B6" s="17"/>
    </row>
    <row r="7" spans="1:10" x14ac:dyDescent="0.3">
      <c r="A7" s="17"/>
      <c r="B7" s="17"/>
    </row>
    <row r="8" spans="1:10" x14ac:dyDescent="0.3">
      <c r="C8" s="17"/>
      <c r="F8" s="17"/>
    </row>
    <row r="9" spans="1:10" x14ac:dyDescent="0.3">
      <c r="A9" s="54"/>
      <c r="B9" s="54"/>
      <c r="C9" s="17"/>
    </row>
    <row r="10" spans="1:10" x14ac:dyDescent="0.3">
      <c r="A10" s="54" t="s">
        <v>5</v>
      </c>
      <c r="B10" s="57" t="s">
        <v>167</v>
      </c>
      <c r="C10" s="57" t="s">
        <v>168</v>
      </c>
      <c r="D10" s="57" t="s">
        <v>169</v>
      </c>
      <c r="E10" s="57"/>
      <c r="F10" s="57"/>
      <c r="G10" s="57"/>
    </row>
    <row r="11" spans="1:10" x14ac:dyDescent="0.3">
      <c r="A11" s="55" t="s">
        <v>170</v>
      </c>
      <c r="B11" s="17" t="s">
        <v>133</v>
      </c>
      <c r="C11" s="17" t="s">
        <v>134</v>
      </c>
      <c r="D11" s="17" t="s">
        <v>100</v>
      </c>
      <c r="E11" s="17"/>
      <c r="F11" s="17"/>
      <c r="G11" s="17"/>
    </row>
    <row r="12" spans="1:10" x14ac:dyDescent="0.3">
      <c r="A12" s="55" t="s">
        <v>113</v>
      </c>
      <c r="B12" s="55" t="s">
        <v>171</v>
      </c>
      <c r="C12" s="55" t="s">
        <v>171</v>
      </c>
      <c r="D12" s="55" t="s">
        <v>171</v>
      </c>
      <c r="E12" s="17"/>
      <c r="F12" s="17"/>
      <c r="G12" s="17"/>
      <c r="J12">
        <v>1</v>
      </c>
    </row>
    <row r="13" spans="1:10" x14ac:dyDescent="0.3">
      <c r="A13" t="s">
        <v>132</v>
      </c>
      <c r="B13" s="17" t="s">
        <v>133</v>
      </c>
      <c r="C13" s="17" t="s">
        <v>134</v>
      </c>
      <c r="D13" s="17" t="s">
        <v>100</v>
      </c>
      <c r="E13" s="17"/>
      <c r="F13" s="17"/>
      <c r="G13" s="17"/>
      <c r="I13" s="17" t="s">
        <v>172</v>
      </c>
      <c r="J13" t="str">
        <f>+VLOOKUP(I13,Employee,J12+1)</f>
        <v>Composite</v>
      </c>
    </row>
    <row r="14" spans="1:10" x14ac:dyDescent="0.3">
      <c r="A14" t="s">
        <v>121</v>
      </c>
      <c r="B14" s="17" t="s">
        <v>171</v>
      </c>
      <c r="C14" s="17" t="s">
        <v>171</v>
      </c>
      <c r="D14" s="17" t="s">
        <v>171</v>
      </c>
      <c r="E14" s="17"/>
      <c r="F14" s="17"/>
      <c r="G14" s="17"/>
    </row>
    <row r="15" spans="1:10" ht="16.5" customHeight="1" x14ac:dyDescent="0.3"/>
    <row r="16" spans="1:10" x14ac:dyDescent="0.3">
      <c r="A16" s="54" t="s">
        <v>166</v>
      </c>
      <c r="B16" s="57">
        <v>1</v>
      </c>
      <c r="C16" s="57">
        <v>2</v>
      </c>
      <c r="D16" s="57">
        <v>3</v>
      </c>
    </row>
    <row r="17" spans="1:10" x14ac:dyDescent="0.3">
      <c r="A17" s="55" t="s">
        <v>170</v>
      </c>
      <c r="B17" s="17" t="s">
        <v>133</v>
      </c>
      <c r="C17" s="17" t="s">
        <v>134</v>
      </c>
      <c r="D17" s="17" t="s">
        <v>100</v>
      </c>
    </row>
    <row r="18" spans="1:10" x14ac:dyDescent="0.3">
      <c r="A18" s="55" t="s">
        <v>113</v>
      </c>
      <c r="B18" s="17" t="s">
        <v>133</v>
      </c>
      <c r="C18" s="17" t="s">
        <v>100</v>
      </c>
      <c r="D18" s="17" t="s">
        <v>100</v>
      </c>
      <c r="J18">
        <v>3</v>
      </c>
    </row>
    <row r="19" spans="1:10" x14ac:dyDescent="0.3">
      <c r="A19" t="s">
        <v>132</v>
      </c>
      <c r="B19" s="17" t="s">
        <v>133</v>
      </c>
      <c r="C19" s="17" t="s">
        <v>134</v>
      </c>
      <c r="D19" s="17" t="s">
        <v>100</v>
      </c>
      <c r="I19" s="17" t="s">
        <v>172</v>
      </c>
      <c r="J19" t="str">
        <f>+VLOOKUP(I19,Retiree,J18+1)</f>
        <v>Family</v>
      </c>
    </row>
    <row r="20" spans="1:10" x14ac:dyDescent="0.3">
      <c r="A20" t="s">
        <v>121</v>
      </c>
      <c r="B20" s="17" t="s">
        <v>133</v>
      </c>
      <c r="C20" s="17" t="s">
        <v>134</v>
      </c>
      <c r="D20" s="17" t="s">
        <v>100</v>
      </c>
    </row>
  </sheetData>
  <sortState xmlns:xlrd2="http://schemas.microsoft.com/office/spreadsheetml/2017/richdata2" ref="A17:P20">
    <sortCondition ref="A17:A20"/>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56efcd7-ed7a-4bc4-a08a-459cd89e2908">
      <Terms xmlns="http://schemas.microsoft.com/office/infopath/2007/PartnerControls"/>
    </lcf76f155ced4ddcb4097134ff3c332f>
    <TaxCatchAll xmlns="5f6b82ce-ea67-44c3-9917-dadd8cabbc99" xsi:nil="true"/>
    <SharedWithUsers xmlns="5f6b82ce-ea67-44c3-9917-dadd8cabbc99">
      <UserInfo>
        <DisplayName>Nicole Strauch</DisplayName>
        <AccountId>21</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C879E2302F4A9408492E2F33FFCC4A4" ma:contentTypeVersion="15" ma:contentTypeDescription="Create a new document." ma:contentTypeScope="" ma:versionID="de8a017dc0c3d139ffd1f263585eab03">
  <xsd:schema xmlns:xsd="http://www.w3.org/2001/XMLSchema" xmlns:xs="http://www.w3.org/2001/XMLSchema" xmlns:p="http://schemas.microsoft.com/office/2006/metadata/properties" xmlns:ns2="156efcd7-ed7a-4bc4-a08a-459cd89e2908" xmlns:ns3="5f6b82ce-ea67-44c3-9917-dadd8cabbc99" targetNamespace="http://schemas.microsoft.com/office/2006/metadata/properties" ma:root="true" ma:fieldsID="35dbf83274ae7993e8f0e9fab78b2964" ns2:_="" ns3:_="">
    <xsd:import namespace="156efcd7-ed7a-4bc4-a08a-459cd89e2908"/>
    <xsd:import namespace="5f6b82ce-ea67-44c3-9917-dadd8cabbc99"/>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6efcd7-ed7a-4bc4-a08a-459cd89e29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8e407c0-559d-4cbe-be3c-715a4b170b0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f6b82ce-ea67-44c3-9917-dadd8cabbc9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37c0db4-2d16-4311-9df0-2f9d253ffe96}" ma:internalName="TaxCatchAll" ma:showField="CatchAllData" ma:web="5f6b82ce-ea67-44c3-9917-dadd8cabbc99">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401404-4E7F-4359-8F31-73A7A0E5968C}">
  <ds:schemaRefs>
    <ds:schemaRef ds:uri="http://schemas.microsoft.com/sharepoint/v3/contenttype/forms"/>
  </ds:schemaRefs>
</ds:datastoreItem>
</file>

<file path=customXml/itemProps2.xml><?xml version="1.0" encoding="utf-8"?>
<ds:datastoreItem xmlns:ds="http://schemas.openxmlformats.org/officeDocument/2006/customXml" ds:itemID="{0C730C60-E90B-4E21-BC2B-D8A35FB8D35E}">
  <ds:schemaRefs>
    <ds:schemaRef ds:uri="http://schemas.microsoft.com/office/2006/documentManagement/types"/>
    <ds:schemaRef ds:uri="http://schemas.openxmlformats.org/package/2006/metadata/core-properties"/>
    <ds:schemaRef ds:uri="156efcd7-ed7a-4bc4-a08a-459cd89e2908"/>
    <ds:schemaRef ds:uri="http://schemas.microsoft.com/office/2006/metadata/properties"/>
    <ds:schemaRef ds:uri="http://purl.org/dc/dcmitype/"/>
    <ds:schemaRef ds:uri="http://www.w3.org/XML/1998/namespace"/>
    <ds:schemaRef ds:uri="http://schemas.microsoft.com/office/infopath/2007/PartnerControls"/>
    <ds:schemaRef ds:uri="5f6b82ce-ea67-44c3-9917-dadd8cabbc99"/>
    <ds:schemaRef ds:uri="http://purl.org/dc/terms/"/>
    <ds:schemaRef ds:uri="http://purl.org/dc/elements/1.1/"/>
  </ds:schemaRefs>
</ds:datastoreItem>
</file>

<file path=customXml/itemProps3.xml><?xml version="1.0" encoding="utf-8"?>
<ds:datastoreItem xmlns:ds="http://schemas.openxmlformats.org/officeDocument/2006/customXml" ds:itemID="{FD3F5D8A-DF38-4453-A89C-AF83BF844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6efcd7-ed7a-4bc4-a08a-459cd89e2908"/>
    <ds:schemaRef ds:uri="5f6b82ce-ea67-44c3-9917-dadd8cabbc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97</vt:i4>
      </vt:variant>
    </vt:vector>
  </HeadingPairs>
  <TitlesOfParts>
    <vt:vector size="105" baseType="lpstr">
      <vt:lpstr>Summary</vt:lpstr>
      <vt:lpstr>Scenario Input</vt:lpstr>
      <vt:lpstr>Scenario Results</vt:lpstr>
      <vt:lpstr>Estimated Costs</vt:lpstr>
      <vt:lpstr>UnitMenu</vt:lpstr>
      <vt:lpstr>MasterMenu</vt:lpstr>
      <vt:lpstr>Sheet2</vt:lpstr>
      <vt:lpstr>Other </vt:lpstr>
      <vt:lpstr>_CAC1</vt:lpstr>
      <vt:lpstr>_CAC2</vt:lpstr>
      <vt:lpstr>_CAC4</vt:lpstr>
      <vt:lpstr>_CBC1</vt:lpstr>
      <vt:lpstr>_CBC2</vt:lpstr>
      <vt:lpstr>_CBC3</vt:lpstr>
      <vt:lpstr>_CBC4</vt:lpstr>
      <vt:lpstr>_ERC1</vt:lpstr>
      <vt:lpstr>_ERC2</vt:lpstr>
      <vt:lpstr>_ERC3</vt:lpstr>
      <vt:lpstr>_ERC4</vt:lpstr>
      <vt:lpstr>_OVCH1</vt:lpstr>
      <vt:lpstr>_OVCH2</vt:lpstr>
      <vt:lpstr>_OVCH3</vt:lpstr>
      <vt:lpstr>_OVCH4</vt:lpstr>
      <vt:lpstr>_OVEE</vt:lpstr>
      <vt:lpstr>_OVSP</vt:lpstr>
      <vt:lpstr>_TMC1</vt:lpstr>
      <vt:lpstr>_TMC2</vt:lpstr>
      <vt:lpstr>_TMC3</vt:lpstr>
      <vt:lpstr>_TMC4</vt:lpstr>
      <vt:lpstr>Cashinlieu</vt:lpstr>
      <vt:lpstr>CASP</vt:lpstr>
      <vt:lpstr>CBEE</vt:lpstr>
      <vt:lpstr>CBSP</vt:lpstr>
      <vt:lpstr>ClaimPayments</vt:lpstr>
      <vt:lpstr>ClaimsC1</vt:lpstr>
      <vt:lpstr>ClaimsC2</vt:lpstr>
      <vt:lpstr>ClaimsC3</vt:lpstr>
      <vt:lpstr>ClaimsC4</vt:lpstr>
      <vt:lpstr>ClaimsEE</vt:lpstr>
      <vt:lpstr>ClaimsSP</vt:lpstr>
      <vt:lpstr>'Scenario Input'!Covered</vt:lpstr>
      <vt:lpstr>Covered</vt:lpstr>
      <vt:lpstr>CoveredDependents</vt:lpstr>
      <vt:lpstr>EERE</vt:lpstr>
      <vt:lpstr>Employee</vt:lpstr>
      <vt:lpstr>ERContribution</vt:lpstr>
      <vt:lpstr>EREE</vt:lpstr>
      <vt:lpstr>ERSP</vt:lpstr>
      <vt:lpstr>HospC1</vt:lpstr>
      <vt:lpstr>HospC2</vt:lpstr>
      <vt:lpstr>HospC3</vt:lpstr>
      <vt:lpstr>HospC4</vt:lpstr>
      <vt:lpstr>HospEE</vt:lpstr>
      <vt:lpstr>HospSP</vt:lpstr>
      <vt:lpstr>HWCC1</vt:lpstr>
      <vt:lpstr>HWCC2</vt:lpstr>
      <vt:lpstr>HWCC3</vt:lpstr>
      <vt:lpstr>HWCC4</vt:lpstr>
      <vt:lpstr>HWCEE</vt:lpstr>
      <vt:lpstr>HWCSP</vt:lpstr>
      <vt:lpstr>MaxOOP</vt:lpstr>
      <vt:lpstr>P1payments</vt:lpstr>
      <vt:lpstr>p2payments</vt:lpstr>
      <vt:lpstr>P3payments</vt:lpstr>
      <vt:lpstr>p4payments</vt:lpstr>
      <vt:lpstr>p5familypayments</vt:lpstr>
      <vt:lpstr>p5spayments</vt:lpstr>
      <vt:lpstr>p6payments</vt:lpstr>
      <vt:lpstr>P7Payments</vt:lpstr>
      <vt:lpstr>PlanColumn</vt:lpstr>
      <vt:lpstr>PrevC1</vt:lpstr>
      <vt:lpstr>PrevC2</vt:lpstr>
      <vt:lpstr>PrevC3</vt:lpstr>
      <vt:lpstr>PrevC4</vt:lpstr>
      <vt:lpstr>PrevEE</vt:lpstr>
      <vt:lpstr>PrevSP</vt:lpstr>
      <vt:lpstr>'Scenario Input'!Print_Area</vt:lpstr>
      <vt:lpstr>'Scenario Results'!Print_Area</vt:lpstr>
      <vt:lpstr>Summary!Print_Area</vt:lpstr>
      <vt:lpstr>RateRow</vt:lpstr>
      <vt:lpstr>Rates</vt:lpstr>
      <vt:lpstr>RateStructure</vt:lpstr>
      <vt:lpstr>Retiree</vt:lpstr>
      <vt:lpstr>RXCH1</vt:lpstr>
      <vt:lpstr>RXCH2</vt:lpstr>
      <vt:lpstr>RXCH3</vt:lpstr>
      <vt:lpstr>RXCH4</vt:lpstr>
      <vt:lpstr>RXEE</vt:lpstr>
      <vt:lpstr>RXSP</vt:lpstr>
      <vt:lpstr>RXUnitCost</vt:lpstr>
      <vt:lpstr>Scenario</vt:lpstr>
      <vt:lpstr>Status</vt:lpstr>
      <vt:lpstr>Tier</vt:lpstr>
      <vt:lpstr>TMEE</vt:lpstr>
      <vt:lpstr>TMSP</vt:lpstr>
      <vt:lpstr>Totalmedcosts</vt:lpstr>
      <vt:lpstr>TotalMedEE</vt:lpstr>
      <vt:lpstr>TotalRXCost</vt:lpstr>
      <vt:lpstr>TotalRXEE</vt:lpstr>
      <vt:lpstr>Unit</vt:lpstr>
      <vt:lpstr>UnitCost</vt:lpstr>
      <vt:lpstr>Unitmenu</vt:lpstr>
      <vt:lpstr>UnitRate</vt:lpstr>
      <vt:lpstr>units</vt:lpstr>
      <vt:lpstr>YesNo</vt:lpstr>
    </vt:vector>
  </TitlesOfParts>
  <Manager/>
  <Company>BCOE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Authorized User</dc:creator>
  <cp:keywords/>
  <dc:description/>
  <cp:lastModifiedBy>Christy Patterson</cp:lastModifiedBy>
  <cp:revision/>
  <cp:lastPrinted>2026-04-30T19:35:00Z</cp:lastPrinted>
  <dcterms:created xsi:type="dcterms:W3CDTF">2010-04-11T21:47:56Z</dcterms:created>
  <dcterms:modified xsi:type="dcterms:W3CDTF">2026-04-30T22:31:53Z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0x0101004C879E2302F4A9408492E2F33FFCC4A4</vt:lpwstr>
  </property>
  <property fmtid="{D5CDD505-2E9C-101B-9397-08002B2CF9AE}" pid="3" name="Order">
    <vt:r8>5774400</vt:r8>
  </property>
  <property fmtid="{D5CDD505-2E9C-101B-9397-08002B2CF9AE}" pid="4" name="MediaServiceImageTags">
    <vt:lpwstr/>
  </property>
</Properties>
</file>